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C:\Users\shiomi.matsumoto\Downloads\"/>
    </mc:Choice>
  </mc:AlternateContent>
  <xr:revisionPtr revIDLastSave="0" documentId="13_ncr:1_{173C0DEB-CB56-4B5D-9F88-52D3477853EB}" xr6:coauthVersionLast="47" xr6:coauthVersionMax="47" xr10:uidLastSave="{00000000-0000-0000-0000-000000000000}"/>
  <workbookProtection workbookAlgorithmName="SHA-512" workbookHashValue="f7B7jtlh4QxJn+tOPE86J0bYsrJILjb7JnAtmbBPxeWasjb5nJajtkqusq/l1wLllLGZo4n35WIlIMpyRJBbow==" workbookSaltValue="yEHmeG2femC2p3QqxhF+lQ==" workbookSpinCount="100000" lockStructure="1"/>
  <bookViews>
    <workbookView xWindow="1400" yWindow="0" windowWidth="17800" windowHeight="10800" xr2:uid="{564A31D3-6168-4195-B19D-8B9CCE9639C8}"/>
  </bookViews>
  <sheets>
    <sheet name="選択ガイド" sheetId="146" r:id="rId1"/>
    <sheet name="①申請者情報" sheetId="165" r:id="rId2"/>
    <sheet name="②補助事業情報" sheetId="166" r:id="rId3"/>
    <sheet name="③経費明細書" sheetId="164" r:id="rId4"/>
    <sheet name="【参考】業種" sheetId="168" r:id="rId5"/>
  </sheets>
  <definedNames>
    <definedName name="_01_農業">#REF!</definedName>
    <definedName name="_02_林業">#REF!</definedName>
    <definedName name="_03_漁業_水産養殖業を除く">#REF!</definedName>
    <definedName name="_04_水産養殖業">#REF!</definedName>
    <definedName name="_05_鉱業・採石業・砂利採取業">#REF!</definedName>
    <definedName name="_06_総合工事業">#REF!</definedName>
    <definedName name="_07_職別工事業_設備工事業を除く">#REF!</definedName>
    <definedName name="_08_設備工事業">#REF!</definedName>
    <definedName name="_09_食料品製造業">#REF!</definedName>
    <definedName name="_10_飲料・たばこ・飼料製造業">#REF!</definedName>
    <definedName name="_11_繊維工業">#REF!</definedName>
    <definedName name="_12_木材・木製品製造業_家具を除く">#REF!</definedName>
    <definedName name="_13_家具・装備品製造業">#REF!</definedName>
    <definedName name="_14_パルプ・紙・紙加工品製造業">#REF!</definedName>
    <definedName name="_15_印刷・同関連業">#REF!</definedName>
    <definedName name="_16_化学工業">#REF!</definedName>
    <definedName name="_17_石油製品・石炭製品製造業">#REF!</definedName>
    <definedName name="_18_プラスチック製品製造業_別掲を除く">#REF!</definedName>
    <definedName name="_19_ゴム製品製造業">#REF!</definedName>
    <definedName name="_20_なめし革・同製品・毛皮製造業">#REF!</definedName>
    <definedName name="_21_窯業・土石製品製造業">#REF!</definedName>
    <definedName name="_22_鉄鋼業">#REF!</definedName>
    <definedName name="_23_非鉄金属製造業">#REF!</definedName>
    <definedName name="_24_金属製品製造業">#REF!</definedName>
    <definedName name="_25_はん用機械器具製造業">#REF!</definedName>
    <definedName name="_26_生産用機械器具製造業">#REF!</definedName>
    <definedName name="_27_業務用機械器具製造業">#REF!</definedName>
    <definedName name="_28_電子部品・デバイス・電子回路製造業">#REF!</definedName>
    <definedName name="_29_電気機械器具製造業">#REF!</definedName>
    <definedName name="_30_情報通信機械器具製造業">#REF!</definedName>
    <definedName name="_31_輸送用機械器具製造業">#REF!</definedName>
    <definedName name="_32_その他の製造業">#REF!</definedName>
    <definedName name="_33_電気業">#REF!</definedName>
    <definedName name="_34_ガス業">#REF!</definedName>
    <definedName name="_35_熱供給業">#REF!</definedName>
    <definedName name="_36_水道業">#REF!</definedName>
    <definedName name="_37_通信業">#REF!</definedName>
    <definedName name="_38_放送業">#REF!</definedName>
    <definedName name="_39_情報サービス業">#REF!</definedName>
    <definedName name="_40_インターネット附随サービス業">#REF!</definedName>
    <definedName name="_41_映像・音声・文字情報制作業">#REF!</definedName>
    <definedName name="_42_鉄道業">#REF!</definedName>
    <definedName name="_43_道路旅客運送業">#REF!</definedName>
    <definedName name="_44_道路貨物運送業">#REF!</definedName>
    <definedName name="_45_水運業">#REF!</definedName>
    <definedName name="_46_航空運輸業">#REF!</definedName>
    <definedName name="_47_倉庫業">#REF!</definedName>
    <definedName name="_48_運輸に附帯するサービス業">#REF!</definedName>
    <definedName name="_49_郵便業_信書便事業を含む">#REF!</definedName>
    <definedName name="_50_各種商品卸売業">#REF!</definedName>
    <definedName name="_51_繊維・衣服等卸売業">#REF!</definedName>
    <definedName name="_52_飲食料品卸売業">#REF!</definedName>
    <definedName name="_53_建築材料_鉱物・金属材料等卸売業">#REF!</definedName>
    <definedName name="_54_機械器具卸売業">#REF!</definedName>
    <definedName name="_55_その他の卸売業">#REF!</definedName>
    <definedName name="_56_各種商品小売業">#REF!</definedName>
    <definedName name="_57_織物・衣服・身の回り品小売業">#REF!</definedName>
    <definedName name="_58_飲食料品小売業">#REF!</definedName>
    <definedName name="_59_機械器具小売業">#REF!</definedName>
    <definedName name="_60_その他の小売業">#REF!</definedName>
    <definedName name="_61_無店舗小売業">#REF!</definedName>
    <definedName name="_62_銀行業">#REF!</definedName>
    <definedName name="_63_協同組織金融業">#REF!</definedName>
    <definedName name="_64_貸金業・クレジットカード業等非預金信用機関">#REF!</definedName>
    <definedName name="_65_金融商品取引業・商品先物取引業">#REF!</definedName>
    <definedName name="_66_補助的金融業等">#REF!</definedName>
    <definedName name="_67_保険業_保険媒介代理業・保険サービス業を含む">#REF!</definedName>
    <definedName name="_68_不動産取引業">#REF!</definedName>
    <definedName name="_69_不動産賃貸業・管理業">#REF!</definedName>
    <definedName name="_70_物品賃貸業">#REF!</definedName>
    <definedName name="_71_学術・開発研究機関">#REF!</definedName>
    <definedName name="_72_専門サービス業_他に分類されないもの">#REF!</definedName>
    <definedName name="_73_広告業">#REF!</definedName>
    <definedName name="_74_技術サービス業_他に分類されないもの">#REF!</definedName>
    <definedName name="_75_宿泊業">#REF!</definedName>
    <definedName name="_76_飲食店">#REF!</definedName>
    <definedName name="_77_持ち帰り・配達飲食サービス業">#REF!</definedName>
    <definedName name="_78_洗濯・理容・美容・浴場業">#REF!</definedName>
    <definedName name="_79_その他の生活関連サービス業">#REF!</definedName>
    <definedName name="_80_娯楽業">#REF!</definedName>
    <definedName name="_81_学校教育">#REF!</definedName>
    <definedName name="_82_その他の教育・学習支援業">#REF!</definedName>
    <definedName name="_83_医療業">#REF!</definedName>
    <definedName name="_84_保健衛生">#REF!</definedName>
    <definedName name="_85_社会保険・社会福祉・介護事業">#REF!</definedName>
    <definedName name="_86_郵便局">#REF!</definedName>
    <definedName name="_87_協同組合_他に分類されないもの">#REF!</definedName>
    <definedName name="_88_廃棄物処理業">#REF!</definedName>
    <definedName name="_89_自動車整備業">#REF!</definedName>
    <definedName name="_90_機械等修理業_別掲を除く">#REF!</definedName>
    <definedName name="_91_職業紹介・労働者派遣業">#REF!</definedName>
    <definedName name="_92_その他の事業サービス業">#REF!</definedName>
    <definedName name="_93_政治・経済・文化団体">#REF!</definedName>
    <definedName name="_94_宗教">#REF!</definedName>
    <definedName name="_95_その他のサービス業">#REF!</definedName>
    <definedName name="_96_外国公務">#REF!</definedName>
    <definedName name="_97_国家公務">#REF!</definedName>
    <definedName name="_98_地方公務">#REF!</definedName>
    <definedName name="_99_分類不能の産業">#REF!</definedName>
    <definedName name="_xlnm._FilterDatabase" localSheetId="4" hidden="1">【参考】業種!$B$3:$DA$3</definedName>
    <definedName name="A_農業・林業">【参考】業種!$F$3:$F$4</definedName>
    <definedName name="B_漁業">【参考】業種!$G$3:$G$4</definedName>
    <definedName name="C_鉱業・採石業・砂利採取業">【参考】業種!$H$3</definedName>
    <definedName name="D_建設業">【参考】業種!$I$3:$I$5</definedName>
    <definedName name="E_製造業">【参考】業種!$J$3:$J$26</definedName>
    <definedName name="F_電気・ガス・熱供給・水道業">【参考】業種!$K$3:$K$6</definedName>
    <definedName name="G_情報通信業">【参考】業種!$L$3:$L$7</definedName>
    <definedName name="H_運輸業・郵便業">【参考】業種!$M$3:$M$10</definedName>
    <definedName name="I_卸売業・小売業">【参考】業種!$N$3:$N$14</definedName>
    <definedName name="J_金融業・保険業">【参考】業種!$O$3:$O$8</definedName>
    <definedName name="K_不動産業・物品賃貸業">【参考】業種!$P$3:$P$5</definedName>
    <definedName name="L_学術研究・専門・技術サービス業">【参考】業種!$Q$3:$Q$6</definedName>
    <definedName name="M_宿泊業・飲食サービス業">【参考】業種!$R$3:$R$5</definedName>
    <definedName name="N_生活関連サービス業・娯楽業">【参考】業種!$S$3:$S$5</definedName>
    <definedName name="O_教育・学習支援業">【参考】業種!$T$3:$T$4</definedName>
    <definedName name="P_医療・福祉">【参考】業種!$U$3:$U$5</definedName>
    <definedName name="_xlnm.Print_Area" localSheetId="2">②補助事業情報!$A$1:$Q$1008</definedName>
    <definedName name="Q_複合サービス事業">【参考】業種!$V$3:$V$4</definedName>
    <definedName name="R_サービス業_他に分類されないもの">【参考】業種!$W$3:$W$11</definedName>
    <definedName name="S_公務_他に分類されるものを除く">【参考】業種!$X$3:$X$4</definedName>
    <definedName name="T_分類不能の産業">【参考】業種!$Y$3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09" i="166" l="1"/>
  <c r="N1018" i="166"/>
  <c r="M1018" i="166"/>
  <c r="L1018" i="166"/>
  <c r="K1018" i="166"/>
  <c r="J1018" i="166"/>
  <c r="I1018" i="166"/>
  <c r="H1018" i="166"/>
  <c r="Q1016" i="166"/>
  <c r="P1016" i="166"/>
  <c r="O1016" i="166"/>
  <c r="N1016" i="166"/>
  <c r="M1016" i="166"/>
  <c r="L1016" i="166"/>
  <c r="K1016" i="166"/>
  <c r="J1016" i="166"/>
  <c r="I1016" i="166"/>
  <c r="H1016" i="166"/>
  <c r="Q1014" i="166"/>
  <c r="P1014" i="166"/>
  <c r="O1014" i="166"/>
  <c r="N1014" i="166"/>
  <c r="M1014" i="166"/>
  <c r="L1014" i="166"/>
  <c r="K1014" i="166"/>
  <c r="J1014" i="166"/>
  <c r="I1014" i="166"/>
  <c r="H1014" i="166"/>
  <c r="Q1012" i="166"/>
  <c r="P1012" i="166"/>
  <c r="O1012" i="166"/>
  <c r="N1012" i="166"/>
  <c r="M1012" i="166"/>
  <c r="L1012" i="166"/>
  <c r="K1012" i="166"/>
  <c r="J1012" i="166"/>
  <c r="I1012" i="166"/>
  <c r="H1012" i="166"/>
  <c r="Q1010" i="166"/>
  <c r="P1010" i="166"/>
  <c r="O1010" i="166"/>
  <c r="N1010" i="166"/>
  <c r="M1010" i="166"/>
  <c r="L1010" i="166"/>
  <c r="K1010" i="166"/>
  <c r="J1010" i="166"/>
  <c r="I1010" i="166"/>
  <c r="H1010" i="166"/>
  <c r="N1028" i="166"/>
  <c r="M1028" i="166"/>
  <c r="L1028" i="166"/>
  <c r="K1028" i="166"/>
  <c r="J1028" i="166"/>
  <c r="I1028" i="166"/>
  <c r="H1028" i="166"/>
  <c r="Q1026" i="166"/>
  <c r="P1026" i="166"/>
  <c r="O1026" i="166"/>
  <c r="N1026" i="166"/>
  <c r="M1026" i="166"/>
  <c r="L1026" i="166"/>
  <c r="K1026" i="166"/>
  <c r="J1026" i="166"/>
  <c r="I1026" i="166"/>
  <c r="H1026" i="166"/>
  <c r="Q1024" i="166"/>
  <c r="P1024" i="166"/>
  <c r="O1024" i="166"/>
  <c r="N1024" i="166"/>
  <c r="M1024" i="166"/>
  <c r="L1024" i="166"/>
  <c r="K1024" i="166"/>
  <c r="J1024" i="166"/>
  <c r="I1024" i="166"/>
  <c r="H1024" i="166"/>
  <c r="Q1022" i="166"/>
  <c r="P1022" i="166"/>
  <c r="O1022" i="166"/>
  <c r="N1022" i="166"/>
  <c r="M1022" i="166"/>
  <c r="L1022" i="166"/>
  <c r="K1022" i="166"/>
  <c r="J1022" i="166"/>
  <c r="I1022" i="166"/>
  <c r="H1022" i="166"/>
  <c r="Q1020" i="166"/>
  <c r="P1020" i="166"/>
  <c r="O1020" i="166"/>
  <c r="N1020" i="166"/>
  <c r="M1020" i="166"/>
  <c r="L1020" i="166"/>
  <c r="K1020" i="166"/>
  <c r="J1020" i="166"/>
  <c r="I1020" i="166"/>
  <c r="H1020" i="166"/>
  <c r="BH13" i="164" l="1"/>
  <c r="BB13" i="164"/>
  <c r="AV13" i="164"/>
  <c r="AP13" i="164"/>
  <c r="AJ13" i="164"/>
  <c r="AD13" i="164"/>
  <c r="X13" i="164"/>
  <c r="R13" i="164"/>
  <c r="L13" i="164"/>
  <c r="F13" i="164"/>
  <c r="F1046" i="166" l="1"/>
  <c r="F1034" i="166"/>
  <c r="F1033" i="166"/>
  <c r="L986" i="166"/>
  <c r="K986" i="166"/>
  <c r="J986" i="166"/>
  <c r="H978" i="166"/>
  <c r="G974" i="166"/>
  <c r="G973" i="166"/>
  <c r="G972" i="166"/>
  <c r="L955" i="166"/>
  <c r="K955" i="166"/>
  <c r="Q954" i="166"/>
  <c r="Q955" i="166" s="1"/>
  <c r="P954" i="166"/>
  <c r="O954" i="166"/>
  <c r="N954" i="166"/>
  <c r="M954" i="166"/>
  <c r="M955" i="166" s="1"/>
  <c r="L954" i="166"/>
  <c r="K954" i="166"/>
  <c r="J954" i="166"/>
  <c r="J955" i="166" s="1"/>
  <c r="I954" i="166"/>
  <c r="I955" i="166" s="1"/>
  <c r="H954" i="166"/>
  <c r="G954" i="166"/>
  <c r="H955" i="166" s="1"/>
  <c r="Q953" i="166"/>
  <c r="P953" i="166"/>
  <c r="I953" i="166"/>
  <c r="H953" i="166"/>
  <c r="Q952" i="166"/>
  <c r="P952" i="166"/>
  <c r="O952" i="166"/>
  <c r="O953" i="166" s="1"/>
  <c r="N952" i="166"/>
  <c r="N953" i="166" s="1"/>
  <c r="M952" i="166"/>
  <c r="L952" i="166"/>
  <c r="K952" i="166"/>
  <c r="J952" i="166"/>
  <c r="J953" i="166" s="1"/>
  <c r="I952" i="166"/>
  <c r="H952" i="166"/>
  <c r="G952" i="166"/>
  <c r="G940" i="166"/>
  <c r="F939" i="166" s="1"/>
  <c r="N937" i="166"/>
  <c r="M937" i="166"/>
  <c r="L937" i="166"/>
  <c r="Q936" i="166"/>
  <c r="P936" i="166"/>
  <c r="O936" i="166"/>
  <c r="O937" i="166" s="1"/>
  <c r="N936" i="166"/>
  <c r="M936" i="166"/>
  <c r="L936" i="166"/>
  <c r="K936" i="166"/>
  <c r="K937" i="166" s="1"/>
  <c r="J936" i="166"/>
  <c r="J937" i="166" s="1"/>
  <c r="I936" i="166"/>
  <c r="H936" i="166"/>
  <c r="G936" i="166"/>
  <c r="Q935" i="166"/>
  <c r="K935" i="166"/>
  <c r="J935" i="166"/>
  <c r="I935" i="166"/>
  <c r="Q934" i="166"/>
  <c r="P934" i="166"/>
  <c r="P935" i="166" s="1"/>
  <c r="O934" i="166"/>
  <c r="O935" i="166" s="1"/>
  <c r="N934" i="166"/>
  <c r="M934" i="166"/>
  <c r="L934" i="166"/>
  <c r="L935" i="166" s="1"/>
  <c r="K934" i="166"/>
  <c r="J934" i="166"/>
  <c r="I934" i="166"/>
  <c r="H934" i="166"/>
  <c r="H935" i="166" s="1"/>
  <c r="G934" i="166"/>
  <c r="G922" i="166"/>
  <c r="F921" i="166"/>
  <c r="N919" i="166"/>
  <c r="M919" i="166"/>
  <c r="Q918" i="166"/>
  <c r="P918" i="166"/>
  <c r="O918" i="166"/>
  <c r="O919" i="166" s="1"/>
  <c r="N918" i="166"/>
  <c r="M918" i="166"/>
  <c r="L918" i="166"/>
  <c r="K918" i="166"/>
  <c r="L919" i="166" s="1"/>
  <c r="J918" i="166"/>
  <c r="I918" i="166"/>
  <c r="H918" i="166"/>
  <c r="G918" i="166"/>
  <c r="K917" i="166"/>
  <c r="J917" i="166"/>
  <c r="Q916" i="166"/>
  <c r="P916" i="166"/>
  <c r="Q917" i="166" s="1"/>
  <c r="O916" i="166"/>
  <c r="N916" i="166"/>
  <c r="M916" i="166"/>
  <c r="M917" i="166" s="1"/>
  <c r="L916" i="166"/>
  <c r="L917" i="166" s="1"/>
  <c r="K916" i="166"/>
  <c r="J916" i="166"/>
  <c r="I916" i="166"/>
  <c r="H916" i="166"/>
  <c r="I917" i="166" s="1"/>
  <c r="G916" i="166"/>
  <c r="G904" i="166"/>
  <c r="F903" i="166"/>
  <c r="P901" i="166"/>
  <c r="O901" i="166"/>
  <c r="N901" i="166"/>
  <c r="H901" i="166"/>
  <c r="Q900" i="166"/>
  <c r="Q901" i="166" s="1"/>
  <c r="P900" i="166"/>
  <c r="O900" i="166"/>
  <c r="N900" i="166"/>
  <c r="M900" i="166"/>
  <c r="L900" i="166"/>
  <c r="M901" i="166" s="1"/>
  <c r="K900" i="166"/>
  <c r="J900" i="166"/>
  <c r="I900" i="166"/>
  <c r="I901" i="166" s="1"/>
  <c r="H900" i="166"/>
  <c r="G900" i="166"/>
  <c r="L899" i="166"/>
  <c r="K899" i="166"/>
  <c r="J899" i="166"/>
  <c r="Q898" i="166"/>
  <c r="Q899" i="166" s="1"/>
  <c r="P898" i="166"/>
  <c r="O898" i="166"/>
  <c r="N898" i="166"/>
  <c r="N899" i="166" s="1"/>
  <c r="M898" i="166"/>
  <c r="M899" i="166" s="1"/>
  <c r="L898" i="166"/>
  <c r="K898" i="166"/>
  <c r="J898" i="166"/>
  <c r="I898" i="166"/>
  <c r="I899" i="166" s="1"/>
  <c r="H898" i="166"/>
  <c r="G898" i="166"/>
  <c r="H899" i="166" s="1"/>
  <c r="G886" i="166"/>
  <c r="F885" i="166" s="1"/>
  <c r="Q883" i="166"/>
  <c r="P883" i="166"/>
  <c r="O883" i="166"/>
  <c r="N883" i="166"/>
  <c r="H883" i="166"/>
  <c r="Q882" i="166"/>
  <c r="P882" i="166"/>
  <c r="O882" i="166"/>
  <c r="N882" i="166"/>
  <c r="M882" i="166"/>
  <c r="M883" i="166" s="1"/>
  <c r="L882" i="166"/>
  <c r="K882" i="166"/>
  <c r="J882" i="166"/>
  <c r="J883" i="166" s="1"/>
  <c r="I882" i="166"/>
  <c r="I883" i="166" s="1"/>
  <c r="H882" i="166"/>
  <c r="G882" i="166"/>
  <c r="M881" i="166"/>
  <c r="L881" i="166"/>
  <c r="K881" i="166"/>
  <c r="Q880" i="166"/>
  <c r="P880" i="166"/>
  <c r="O880" i="166"/>
  <c r="N880" i="166"/>
  <c r="N881" i="166" s="1"/>
  <c r="M880" i="166"/>
  <c r="L880" i="166"/>
  <c r="K880" i="166"/>
  <c r="J880" i="166"/>
  <c r="J881" i="166" s="1"/>
  <c r="I880" i="166"/>
  <c r="H880" i="166"/>
  <c r="G880" i="166"/>
  <c r="G868" i="166"/>
  <c r="F867" i="166"/>
  <c r="Q865" i="166"/>
  <c r="P865" i="166"/>
  <c r="O865" i="166"/>
  <c r="H865" i="166"/>
  <c r="Q864" i="166"/>
  <c r="P864" i="166"/>
  <c r="O864" i="166"/>
  <c r="N864" i="166"/>
  <c r="N865" i="166" s="1"/>
  <c r="M864" i="166"/>
  <c r="L864" i="166"/>
  <c r="K864" i="166"/>
  <c r="J864" i="166"/>
  <c r="J865" i="166" s="1"/>
  <c r="I864" i="166"/>
  <c r="I865" i="166" s="1"/>
  <c r="H864" i="166"/>
  <c r="G864" i="166"/>
  <c r="N863" i="166"/>
  <c r="M863" i="166"/>
  <c r="L863" i="166"/>
  <c r="Q862" i="166"/>
  <c r="P862" i="166"/>
  <c r="P863" i="166" s="1"/>
  <c r="O862" i="166"/>
  <c r="N862" i="166"/>
  <c r="M862" i="166"/>
  <c r="L862" i="166"/>
  <c r="K862" i="166"/>
  <c r="K863" i="166" s="1"/>
  <c r="J862" i="166"/>
  <c r="I862" i="166"/>
  <c r="H862" i="166"/>
  <c r="H863" i="166" s="1"/>
  <c r="G862" i="166"/>
  <c r="G850" i="166"/>
  <c r="F849" i="166"/>
  <c r="Q847" i="166"/>
  <c r="K847" i="166"/>
  <c r="I847" i="166"/>
  <c r="Q846" i="166"/>
  <c r="P846" i="166"/>
  <c r="O846" i="166"/>
  <c r="O847" i="166" s="1"/>
  <c r="N846" i="166"/>
  <c r="M846" i="166"/>
  <c r="L846" i="166"/>
  <c r="K846" i="166"/>
  <c r="J846" i="166"/>
  <c r="J847" i="166" s="1"/>
  <c r="I846" i="166"/>
  <c r="H846" i="166"/>
  <c r="G846" i="166"/>
  <c r="H847" i="166" s="1"/>
  <c r="O845" i="166"/>
  <c r="H845" i="166"/>
  <c r="Q844" i="166"/>
  <c r="P844" i="166"/>
  <c r="P845" i="166" s="1"/>
  <c r="O844" i="166"/>
  <c r="N844" i="166"/>
  <c r="M844" i="166"/>
  <c r="N845" i="166" s="1"/>
  <c r="L844" i="166"/>
  <c r="L845" i="166" s="1"/>
  <c r="K844" i="166"/>
  <c r="J844" i="166"/>
  <c r="K845" i="166" s="1"/>
  <c r="I844" i="166"/>
  <c r="H844" i="166"/>
  <c r="G844" i="166"/>
  <c r="G832" i="166"/>
  <c r="F831" i="166"/>
  <c r="Q829" i="166"/>
  <c r="O829" i="166"/>
  <c r="N829" i="166"/>
  <c r="J829" i="166"/>
  <c r="Q828" i="166"/>
  <c r="P828" i="166"/>
  <c r="P829" i="166" s="1"/>
  <c r="O828" i="166"/>
  <c r="N828" i="166"/>
  <c r="M828" i="166"/>
  <c r="M829" i="166" s="1"/>
  <c r="L828" i="166"/>
  <c r="K828" i="166"/>
  <c r="K829" i="166" s="1"/>
  <c r="J828" i="166"/>
  <c r="I828" i="166"/>
  <c r="H828" i="166"/>
  <c r="H829" i="166" s="1"/>
  <c r="G828" i="166"/>
  <c r="Q827" i="166"/>
  <c r="P827" i="166"/>
  <c r="N827" i="166"/>
  <c r="H827" i="166"/>
  <c r="Q826" i="166"/>
  <c r="P826" i="166"/>
  <c r="O826" i="166"/>
  <c r="N826" i="166"/>
  <c r="O827" i="166" s="1"/>
  <c r="M826" i="166"/>
  <c r="M827" i="166" s="1"/>
  <c r="L826" i="166"/>
  <c r="K826" i="166"/>
  <c r="J826" i="166"/>
  <c r="J827" i="166" s="1"/>
  <c r="I826" i="166"/>
  <c r="I827" i="166" s="1"/>
  <c r="H826" i="166"/>
  <c r="G826" i="166"/>
  <c r="G814" i="166"/>
  <c r="F813" i="166"/>
  <c r="P811" i="166"/>
  <c r="O811" i="166"/>
  <c r="M811" i="166"/>
  <c r="K811" i="166"/>
  <c r="Q810" i="166"/>
  <c r="Q811" i="166" s="1"/>
  <c r="P810" i="166"/>
  <c r="O810" i="166"/>
  <c r="N810" i="166"/>
  <c r="N811" i="166" s="1"/>
  <c r="M810" i="166"/>
  <c r="L810" i="166"/>
  <c r="L811" i="166" s="1"/>
  <c r="K810" i="166"/>
  <c r="J810" i="166"/>
  <c r="I810" i="166"/>
  <c r="I811" i="166" s="1"/>
  <c r="H810" i="166"/>
  <c r="G810" i="166"/>
  <c r="H811" i="166" s="1"/>
  <c r="O809" i="166"/>
  <c r="J809" i="166"/>
  <c r="I809" i="166"/>
  <c r="Q808" i="166"/>
  <c r="Q809" i="166" s="1"/>
  <c r="P808" i="166"/>
  <c r="O808" i="166"/>
  <c r="P809" i="166" s="1"/>
  <c r="N808" i="166"/>
  <c r="N809" i="166" s="1"/>
  <c r="M808" i="166"/>
  <c r="L808" i="166"/>
  <c r="K808" i="166"/>
  <c r="K809" i="166" s="1"/>
  <c r="J808" i="166"/>
  <c r="I808" i="166"/>
  <c r="H808" i="166"/>
  <c r="G808" i="166"/>
  <c r="H809" i="166" s="1"/>
  <c r="G796" i="166"/>
  <c r="F795" i="166"/>
  <c r="K793" i="166"/>
  <c r="J793" i="166"/>
  <c r="H793" i="166"/>
  <c r="Q792" i="166"/>
  <c r="P792" i="166"/>
  <c r="P793" i="166" s="1"/>
  <c r="O792" i="166"/>
  <c r="N792" i="166"/>
  <c r="M792" i="166"/>
  <c r="L792" i="166"/>
  <c r="L793" i="166" s="1"/>
  <c r="K792" i="166"/>
  <c r="J792" i="166"/>
  <c r="I792" i="166"/>
  <c r="H792" i="166"/>
  <c r="I793" i="166" s="1"/>
  <c r="G792" i="166"/>
  <c r="O791" i="166"/>
  <c r="N791" i="166"/>
  <c r="J791" i="166"/>
  <c r="Q790" i="166"/>
  <c r="P790" i="166"/>
  <c r="P791" i="166" s="1"/>
  <c r="O790" i="166"/>
  <c r="N790" i="166"/>
  <c r="M790" i="166"/>
  <c r="L790" i="166"/>
  <c r="K790" i="166"/>
  <c r="K791" i="166" s="1"/>
  <c r="J790" i="166"/>
  <c r="I790" i="166"/>
  <c r="H790" i="166"/>
  <c r="H791" i="166" s="1"/>
  <c r="G790" i="166"/>
  <c r="G778" i="166"/>
  <c r="F777" i="166"/>
  <c r="Q775" i="166"/>
  <c r="P775" i="166"/>
  <c r="K775" i="166"/>
  <c r="J775" i="166"/>
  <c r="Q774" i="166"/>
  <c r="P774" i="166"/>
  <c r="O774" i="166"/>
  <c r="O775" i="166" s="1"/>
  <c r="N774" i="166"/>
  <c r="M774" i="166"/>
  <c r="L774" i="166"/>
  <c r="K774" i="166"/>
  <c r="J774" i="166"/>
  <c r="I774" i="166"/>
  <c r="H774" i="166"/>
  <c r="G774" i="166"/>
  <c r="O773" i="166"/>
  <c r="M773" i="166"/>
  <c r="Q772" i="166"/>
  <c r="P772" i="166"/>
  <c r="P773" i="166" s="1"/>
  <c r="O772" i="166"/>
  <c r="N772" i="166"/>
  <c r="M772" i="166"/>
  <c r="N773" i="166" s="1"/>
  <c r="L772" i="166"/>
  <c r="L773" i="166" s="1"/>
  <c r="K772" i="166"/>
  <c r="J772" i="166"/>
  <c r="I772" i="166"/>
  <c r="H772" i="166"/>
  <c r="H773" i="166" s="1"/>
  <c r="G772" i="166"/>
  <c r="G760" i="166"/>
  <c r="F759" i="166"/>
  <c r="J757" i="166"/>
  <c r="I757" i="166"/>
  <c r="Q756" i="166"/>
  <c r="Q757" i="166" s="1"/>
  <c r="P756" i="166"/>
  <c r="P757" i="166" s="1"/>
  <c r="O756" i="166"/>
  <c r="N756" i="166"/>
  <c r="N757" i="166" s="1"/>
  <c r="M756" i="166"/>
  <c r="L756" i="166"/>
  <c r="K756" i="166"/>
  <c r="K757" i="166" s="1"/>
  <c r="J756" i="166"/>
  <c r="I756" i="166"/>
  <c r="H756" i="166"/>
  <c r="H757" i="166" s="1"/>
  <c r="G756" i="166"/>
  <c r="N755" i="166"/>
  <c r="L755" i="166"/>
  <c r="H755" i="166"/>
  <c r="Q754" i="166"/>
  <c r="P754" i="166"/>
  <c r="Q755" i="166" s="1"/>
  <c r="O754" i="166"/>
  <c r="N754" i="166"/>
  <c r="O755" i="166" s="1"/>
  <c r="M754" i="166"/>
  <c r="M755" i="166" s="1"/>
  <c r="L754" i="166"/>
  <c r="K754" i="166"/>
  <c r="J754" i="166"/>
  <c r="J755" i="166" s="1"/>
  <c r="I754" i="166"/>
  <c r="I755" i="166" s="1"/>
  <c r="H754" i="166"/>
  <c r="G754" i="166"/>
  <c r="G742" i="166"/>
  <c r="F741" i="166"/>
  <c r="P739" i="166"/>
  <c r="L739" i="166"/>
  <c r="K739" i="166"/>
  <c r="J739" i="166"/>
  <c r="Q738" i="166"/>
  <c r="Q739" i="166" s="1"/>
  <c r="P738" i="166"/>
  <c r="O738" i="166"/>
  <c r="O739" i="166" s="1"/>
  <c r="N738" i="166"/>
  <c r="M738" i="166"/>
  <c r="M739" i="166" s="1"/>
  <c r="L738" i="166"/>
  <c r="K738" i="166"/>
  <c r="J738" i="166"/>
  <c r="I738" i="166"/>
  <c r="I739" i="166" s="1"/>
  <c r="H738" i="166"/>
  <c r="G738" i="166"/>
  <c r="H739" i="166" s="1"/>
  <c r="P737" i="166"/>
  <c r="M737" i="166"/>
  <c r="Q736" i="166"/>
  <c r="Q737" i="166" s="1"/>
  <c r="P736" i="166"/>
  <c r="O736" i="166"/>
  <c r="O737" i="166" s="1"/>
  <c r="N736" i="166"/>
  <c r="N737" i="166" s="1"/>
  <c r="M736" i="166"/>
  <c r="L736" i="166"/>
  <c r="K736" i="166"/>
  <c r="J736" i="166"/>
  <c r="I736" i="166"/>
  <c r="I737" i="166" s="1"/>
  <c r="H736" i="166"/>
  <c r="G736" i="166"/>
  <c r="H737" i="166" s="1"/>
  <c r="G724" i="166"/>
  <c r="Q721" i="166"/>
  <c r="K721" i="166"/>
  <c r="Q720" i="166"/>
  <c r="P720" i="166"/>
  <c r="O720" i="166"/>
  <c r="O721" i="166" s="1"/>
  <c r="N720" i="166"/>
  <c r="N721" i="166" s="1"/>
  <c r="M720" i="166"/>
  <c r="M721" i="166" s="1"/>
  <c r="L720" i="166"/>
  <c r="K720" i="166"/>
  <c r="L721" i="166" s="1"/>
  <c r="J720" i="166"/>
  <c r="J721" i="166" s="1"/>
  <c r="I720" i="166"/>
  <c r="H720" i="166"/>
  <c r="G720" i="166"/>
  <c r="P719" i="166"/>
  <c r="J719" i="166"/>
  <c r="I719" i="166"/>
  <c r="H719" i="166"/>
  <c r="Q718" i="166"/>
  <c r="P718" i="166"/>
  <c r="Q719" i="166" s="1"/>
  <c r="O718" i="166"/>
  <c r="O719" i="166" s="1"/>
  <c r="N718" i="166"/>
  <c r="M718" i="166"/>
  <c r="M719" i="166" s="1"/>
  <c r="L718" i="166"/>
  <c r="K718" i="166"/>
  <c r="K719" i="166" s="1"/>
  <c r="J718" i="166"/>
  <c r="I718" i="166"/>
  <c r="H718" i="166"/>
  <c r="G718" i="166"/>
  <c r="G706" i="166"/>
  <c r="F705" i="166"/>
  <c r="M703" i="166"/>
  <c r="Q702" i="166"/>
  <c r="P702" i="166"/>
  <c r="P703" i="166" s="1"/>
  <c r="O702" i="166"/>
  <c r="N702" i="166"/>
  <c r="M702" i="166"/>
  <c r="L702" i="166"/>
  <c r="L703" i="166" s="1"/>
  <c r="K702" i="166"/>
  <c r="K703" i="166" s="1"/>
  <c r="J702" i="166"/>
  <c r="I702" i="166"/>
  <c r="H702" i="166"/>
  <c r="H703" i="166" s="1"/>
  <c r="G702" i="166"/>
  <c r="Q701" i="166"/>
  <c r="L701" i="166"/>
  <c r="I701" i="166"/>
  <c r="Q700" i="166"/>
  <c r="P700" i="166"/>
  <c r="P701" i="166" s="1"/>
  <c r="O700" i="166"/>
  <c r="N700" i="166"/>
  <c r="M700" i="166"/>
  <c r="M701" i="166" s="1"/>
  <c r="L700" i="166"/>
  <c r="K700" i="166"/>
  <c r="K701" i="166" s="1"/>
  <c r="J700" i="166"/>
  <c r="I700" i="166"/>
  <c r="J701" i="166" s="1"/>
  <c r="H700" i="166"/>
  <c r="H701" i="166" s="1"/>
  <c r="G700" i="166"/>
  <c r="G688" i="166"/>
  <c r="O685" i="166"/>
  <c r="N685" i="166"/>
  <c r="M685" i="166"/>
  <c r="H685" i="166"/>
  <c r="Q684" i="166"/>
  <c r="P684" i="166"/>
  <c r="P685" i="166" s="1"/>
  <c r="O684" i="166"/>
  <c r="N684" i="166"/>
  <c r="M684" i="166"/>
  <c r="L684" i="166"/>
  <c r="L685" i="166" s="1"/>
  <c r="K684" i="166"/>
  <c r="J684" i="166"/>
  <c r="I684" i="166"/>
  <c r="H684" i="166"/>
  <c r="G684" i="166"/>
  <c r="L683" i="166"/>
  <c r="K683" i="166"/>
  <c r="J683" i="166"/>
  <c r="Q682" i="166"/>
  <c r="Q683" i="166" s="1"/>
  <c r="P682" i="166"/>
  <c r="O682" i="166"/>
  <c r="O683" i="166" s="1"/>
  <c r="N682" i="166"/>
  <c r="M682" i="166"/>
  <c r="M683" i="166" s="1"/>
  <c r="L682" i="166"/>
  <c r="K682" i="166"/>
  <c r="J682" i="166"/>
  <c r="I682" i="166"/>
  <c r="I683" i="166" s="1"/>
  <c r="H682" i="166"/>
  <c r="G682" i="166"/>
  <c r="H683" i="166" s="1"/>
  <c r="G670" i="166"/>
  <c r="F669" i="166"/>
  <c r="O667" i="166"/>
  <c r="L667" i="166"/>
  <c r="I667" i="166"/>
  <c r="H667" i="166"/>
  <c r="Q666" i="166"/>
  <c r="P666" i="166"/>
  <c r="P667" i="166" s="1"/>
  <c r="O666" i="166"/>
  <c r="N666" i="166"/>
  <c r="N667" i="166" s="1"/>
  <c r="M666" i="166"/>
  <c r="M667" i="166" s="1"/>
  <c r="L666" i="166"/>
  <c r="K666" i="166"/>
  <c r="J666" i="166"/>
  <c r="J667" i="166" s="1"/>
  <c r="I666" i="166"/>
  <c r="H666" i="166"/>
  <c r="G666" i="166"/>
  <c r="Q665" i="166"/>
  <c r="L665" i="166"/>
  <c r="I665" i="166"/>
  <c r="Q664" i="166"/>
  <c r="P664" i="166"/>
  <c r="O664" i="166"/>
  <c r="O665" i="166" s="1"/>
  <c r="N664" i="166"/>
  <c r="M664" i="166"/>
  <c r="M665" i="166" s="1"/>
  <c r="L664" i="166"/>
  <c r="K664" i="166"/>
  <c r="K665" i="166" s="1"/>
  <c r="J664" i="166"/>
  <c r="J665" i="166" s="1"/>
  <c r="I664" i="166"/>
  <c r="H664" i="166"/>
  <c r="G664" i="166"/>
  <c r="G652" i="166"/>
  <c r="F651" i="166"/>
  <c r="M649" i="166"/>
  <c r="I649" i="166"/>
  <c r="Q648" i="166"/>
  <c r="Q649" i="166" s="1"/>
  <c r="P648" i="166"/>
  <c r="O648" i="166"/>
  <c r="N648" i="166"/>
  <c r="N649" i="166" s="1"/>
  <c r="M648" i="166"/>
  <c r="L648" i="166"/>
  <c r="K648" i="166"/>
  <c r="K649" i="166" s="1"/>
  <c r="J648" i="166"/>
  <c r="I648" i="166"/>
  <c r="J649" i="166" s="1"/>
  <c r="H648" i="166"/>
  <c r="G648" i="166"/>
  <c r="H649" i="166" s="1"/>
  <c r="N647" i="166"/>
  <c r="L647" i="166"/>
  <c r="Q646" i="166"/>
  <c r="P646" i="166"/>
  <c r="O646" i="166"/>
  <c r="O647" i="166" s="1"/>
  <c r="N646" i="166"/>
  <c r="M646" i="166"/>
  <c r="L646" i="166"/>
  <c r="M647" i="166" s="1"/>
  <c r="K646" i="166"/>
  <c r="K647" i="166" s="1"/>
  <c r="J646" i="166"/>
  <c r="I646" i="166"/>
  <c r="H646" i="166"/>
  <c r="G646" i="166"/>
  <c r="G634" i="166"/>
  <c r="N631" i="166"/>
  <c r="I631" i="166"/>
  <c r="H631" i="166"/>
  <c r="Q630" i="166"/>
  <c r="P630" i="166"/>
  <c r="P631" i="166" s="1"/>
  <c r="O630" i="166"/>
  <c r="O631" i="166" s="1"/>
  <c r="N630" i="166"/>
  <c r="M630" i="166"/>
  <c r="L630" i="166"/>
  <c r="L631" i="166" s="1"/>
  <c r="K630" i="166"/>
  <c r="J630" i="166"/>
  <c r="J631" i="166" s="1"/>
  <c r="I630" i="166"/>
  <c r="H630" i="166"/>
  <c r="G630" i="166"/>
  <c r="N629" i="166"/>
  <c r="M629" i="166"/>
  <c r="K629" i="166"/>
  <c r="Q628" i="166"/>
  <c r="Q629" i="166" s="1"/>
  <c r="P628" i="166"/>
  <c r="O628" i="166"/>
  <c r="O629" i="166" s="1"/>
  <c r="N628" i="166"/>
  <c r="M628" i="166"/>
  <c r="L628" i="166"/>
  <c r="L629" i="166" s="1"/>
  <c r="K628" i="166"/>
  <c r="J628" i="166"/>
  <c r="I628" i="166"/>
  <c r="I629" i="166" s="1"/>
  <c r="H628" i="166"/>
  <c r="G628" i="166"/>
  <c r="H629" i="166" s="1"/>
  <c r="G616" i="166"/>
  <c r="Q613" i="166"/>
  <c r="O613" i="166"/>
  <c r="J613" i="166"/>
  <c r="Q612" i="166"/>
  <c r="P612" i="166"/>
  <c r="P613" i="166" s="1"/>
  <c r="O612" i="166"/>
  <c r="N612" i="166"/>
  <c r="M612" i="166"/>
  <c r="M613" i="166" s="1"/>
  <c r="L612" i="166"/>
  <c r="K612" i="166"/>
  <c r="K613" i="166" s="1"/>
  <c r="J612" i="166"/>
  <c r="I612" i="166"/>
  <c r="I613" i="166" s="1"/>
  <c r="H612" i="166"/>
  <c r="H613" i="166" s="1"/>
  <c r="G612" i="166"/>
  <c r="Q611" i="166"/>
  <c r="P611" i="166"/>
  <c r="N611" i="166"/>
  <c r="Q610" i="166"/>
  <c r="P610" i="166"/>
  <c r="O610" i="166"/>
  <c r="N610" i="166"/>
  <c r="O611" i="166" s="1"/>
  <c r="M610" i="166"/>
  <c r="M611" i="166" s="1"/>
  <c r="L610" i="166"/>
  <c r="K610" i="166"/>
  <c r="J610" i="166"/>
  <c r="I610" i="166"/>
  <c r="I611" i="166" s="1"/>
  <c r="H610" i="166"/>
  <c r="H611" i="166" s="1"/>
  <c r="G610" i="166"/>
  <c r="G598" i="166"/>
  <c r="F597" i="166"/>
  <c r="H595" i="166"/>
  <c r="Q594" i="166"/>
  <c r="Q595" i="166" s="1"/>
  <c r="P594" i="166"/>
  <c r="O594" i="166"/>
  <c r="N594" i="166"/>
  <c r="N595" i="166" s="1"/>
  <c r="M594" i="166"/>
  <c r="L594" i="166"/>
  <c r="L595" i="166" s="1"/>
  <c r="K594" i="166"/>
  <c r="J594" i="166"/>
  <c r="I594" i="166"/>
  <c r="I595" i="166" s="1"/>
  <c r="H594" i="166"/>
  <c r="G594" i="166"/>
  <c r="Q593" i="166"/>
  <c r="O593" i="166"/>
  <c r="H593" i="166"/>
  <c r="Q592" i="166"/>
  <c r="P592" i="166"/>
  <c r="O592" i="166"/>
  <c r="P593" i="166" s="1"/>
  <c r="N592" i="166"/>
  <c r="N593" i="166" s="1"/>
  <c r="M592" i="166"/>
  <c r="L592" i="166"/>
  <c r="L593" i="166" s="1"/>
  <c r="K592" i="166"/>
  <c r="J592" i="166"/>
  <c r="J593" i="166" s="1"/>
  <c r="I592" i="166"/>
  <c r="H592" i="166"/>
  <c r="I593" i="166" s="1"/>
  <c r="G592" i="166"/>
  <c r="G580" i="166"/>
  <c r="F579" i="166"/>
  <c r="Q576" i="166"/>
  <c r="P576" i="166"/>
  <c r="O576" i="166"/>
  <c r="N576" i="166"/>
  <c r="M576" i="166"/>
  <c r="L576" i="166"/>
  <c r="M577" i="166" s="1"/>
  <c r="K576" i="166"/>
  <c r="J576" i="166"/>
  <c r="I576" i="166"/>
  <c r="H576" i="166"/>
  <c r="G576" i="166"/>
  <c r="Q574" i="166"/>
  <c r="Q575" i="166" s="1"/>
  <c r="P574" i="166"/>
  <c r="O574" i="166"/>
  <c r="O575" i="166" s="1"/>
  <c r="N574" i="166"/>
  <c r="M574" i="166"/>
  <c r="M575" i="166" s="1"/>
  <c r="L574" i="166"/>
  <c r="K574" i="166"/>
  <c r="L575" i="166" s="1"/>
  <c r="J574" i="166"/>
  <c r="I574" i="166"/>
  <c r="H574" i="166"/>
  <c r="G574" i="166"/>
  <c r="H575" i="166" s="1"/>
  <c r="G562" i="166"/>
  <c r="H559" i="166"/>
  <c r="Q558" i="166"/>
  <c r="Q559" i="166" s="1"/>
  <c r="P558" i="166"/>
  <c r="O558" i="166"/>
  <c r="P559" i="166" s="1"/>
  <c r="N558" i="166"/>
  <c r="M558" i="166"/>
  <c r="N559" i="166" s="1"/>
  <c r="L558" i="166"/>
  <c r="K558" i="166"/>
  <c r="L559" i="166" s="1"/>
  <c r="J558" i="166"/>
  <c r="I558" i="166"/>
  <c r="I559" i="166" s="1"/>
  <c r="H558" i="166"/>
  <c r="G558" i="166"/>
  <c r="M557" i="166"/>
  <c r="H557" i="166"/>
  <c r="Q556" i="166"/>
  <c r="P556" i="166"/>
  <c r="Q557" i="166" s="1"/>
  <c r="O556" i="166"/>
  <c r="N556" i="166"/>
  <c r="N557" i="166" s="1"/>
  <c r="M556" i="166"/>
  <c r="L556" i="166"/>
  <c r="L557" i="166" s="1"/>
  <c r="K556" i="166"/>
  <c r="J556" i="166"/>
  <c r="K557" i="166" s="1"/>
  <c r="I556" i="166"/>
  <c r="H556" i="166"/>
  <c r="I557" i="166" s="1"/>
  <c r="G556" i="166"/>
  <c r="G544" i="166"/>
  <c r="F543" i="166"/>
  <c r="P541" i="166"/>
  <c r="N541" i="166"/>
  <c r="J541" i="166"/>
  <c r="Q540" i="166"/>
  <c r="P540" i="166"/>
  <c r="Q541" i="166" s="1"/>
  <c r="O540" i="166"/>
  <c r="N540" i="166"/>
  <c r="O541" i="166" s="1"/>
  <c r="M540" i="166"/>
  <c r="L540" i="166"/>
  <c r="M541" i="166" s="1"/>
  <c r="K540" i="166"/>
  <c r="J540" i="166"/>
  <c r="I540" i="166"/>
  <c r="H540" i="166"/>
  <c r="I541" i="166" s="1"/>
  <c r="G540" i="166"/>
  <c r="Q538" i="166"/>
  <c r="P538" i="166"/>
  <c r="O538" i="166"/>
  <c r="O539" i="166" s="1"/>
  <c r="N538" i="166"/>
  <c r="M538" i="166"/>
  <c r="N539" i="166" s="1"/>
  <c r="L538" i="166"/>
  <c r="K538" i="166"/>
  <c r="L539" i="166" s="1"/>
  <c r="J538" i="166"/>
  <c r="I538" i="166"/>
  <c r="J539" i="166" s="1"/>
  <c r="H538" i="166"/>
  <c r="G538" i="166"/>
  <c r="G526" i="166"/>
  <c r="K523" i="166"/>
  <c r="Q522" i="166"/>
  <c r="Q523" i="166" s="1"/>
  <c r="P522" i="166"/>
  <c r="O522" i="166"/>
  <c r="P523" i="166" s="1"/>
  <c r="N522" i="166"/>
  <c r="M522" i="166"/>
  <c r="N523" i="166" s="1"/>
  <c r="L522" i="166"/>
  <c r="L523" i="166" s="1"/>
  <c r="K522" i="166"/>
  <c r="J522" i="166"/>
  <c r="I522" i="166"/>
  <c r="J523" i="166" s="1"/>
  <c r="H522" i="166"/>
  <c r="G522" i="166"/>
  <c r="H523" i="166" s="1"/>
  <c r="N521" i="166"/>
  <c r="H521" i="166"/>
  <c r="Q520" i="166"/>
  <c r="P520" i="166"/>
  <c r="P521" i="166" s="1"/>
  <c r="O520" i="166"/>
  <c r="N520" i="166"/>
  <c r="O521" i="166" s="1"/>
  <c r="M520" i="166"/>
  <c r="L520" i="166"/>
  <c r="M521" i="166" s="1"/>
  <c r="K520" i="166"/>
  <c r="J520" i="166"/>
  <c r="K521" i="166" s="1"/>
  <c r="I520" i="166"/>
  <c r="H520" i="166"/>
  <c r="G520" i="166"/>
  <c r="G508" i="166"/>
  <c r="F507" i="166"/>
  <c r="N505" i="166"/>
  <c r="L505" i="166"/>
  <c r="J505" i="166"/>
  <c r="Q504" i="166"/>
  <c r="P504" i="166"/>
  <c r="O504" i="166"/>
  <c r="N504" i="166"/>
  <c r="O505" i="166" s="1"/>
  <c r="M504" i="166"/>
  <c r="M505" i="166" s="1"/>
  <c r="L504" i="166"/>
  <c r="K504" i="166"/>
  <c r="J504" i="166"/>
  <c r="K505" i="166" s="1"/>
  <c r="I504" i="166"/>
  <c r="H504" i="166"/>
  <c r="G504" i="166"/>
  <c r="Q503" i="166"/>
  <c r="Q502" i="166"/>
  <c r="P502" i="166"/>
  <c r="O502" i="166"/>
  <c r="N502" i="166"/>
  <c r="M502" i="166"/>
  <c r="N503" i="166" s="1"/>
  <c r="L502" i="166"/>
  <c r="K502" i="166"/>
  <c r="L503" i="166" s="1"/>
  <c r="J502" i="166"/>
  <c r="J503" i="166" s="1"/>
  <c r="I502" i="166"/>
  <c r="I503" i="166" s="1"/>
  <c r="H502" i="166"/>
  <c r="G502" i="166"/>
  <c r="H503" i="166" s="1"/>
  <c r="G490" i="166"/>
  <c r="L487" i="166"/>
  <c r="Q486" i="166"/>
  <c r="Q487" i="166" s="1"/>
  <c r="P486" i="166"/>
  <c r="O486" i="166"/>
  <c r="P487" i="166" s="1"/>
  <c r="N486" i="166"/>
  <c r="M486" i="166"/>
  <c r="M487" i="166" s="1"/>
  <c r="L486" i="166"/>
  <c r="K486" i="166"/>
  <c r="K487" i="166" s="1"/>
  <c r="J486" i="166"/>
  <c r="I486" i="166"/>
  <c r="J487" i="166" s="1"/>
  <c r="H486" i="166"/>
  <c r="G486" i="166"/>
  <c r="H487" i="166" s="1"/>
  <c r="P485" i="166"/>
  <c r="J485" i="166"/>
  <c r="I485" i="166"/>
  <c r="Q484" i="166"/>
  <c r="P484" i="166"/>
  <c r="Q485" i="166" s="1"/>
  <c r="O484" i="166"/>
  <c r="N484" i="166"/>
  <c r="M484" i="166"/>
  <c r="L484" i="166"/>
  <c r="K484" i="166"/>
  <c r="K485" i="166" s="1"/>
  <c r="J484" i="166"/>
  <c r="I484" i="166"/>
  <c r="H484" i="166"/>
  <c r="H485" i="166" s="1"/>
  <c r="G484" i="166"/>
  <c r="G472" i="166"/>
  <c r="F471" i="166"/>
  <c r="P469" i="166"/>
  <c r="M469" i="166"/>
  <c r="J469" i="166"/>
  <c r="Q468" i="166"/>
  <c r="P468" i="166"/>
  <c r="Q469" i="166" s="1"/>
  <c r="O468" i="166"/>
  <c r="N468" i="166"/>
  <c r="N469" i="166" s="1"/>
  <c r="M468" i="166"/>
  <c r="L468" i="166"/>
  <c r="L469" i="166" s="1"/>
  <c r="K468" i="166"/>
  <c r="J468" i="166"/>
  <c r="K469" i="166" s="1"/>
  <c r="I468" i="166"/>
  <c r="H468" i="166"/>
  <c r="G468" i="166"/>
  <c r="J467" i="166"/>
  <c r="I467" i="166"/>
  <c r="Q466" i="166"/>
  <c r="Q467" i="166" s="1"/>
  <c r="P466" i="166"/>
  <c r="O466" i="166"/>
  <c r="P467" i="166" s="1"/>
  <c r="N466" i="166"/>
  <c r="M466" i="166"/>
  <c r="N467" i="166" s="1"/>
  <c r="L466" i="166"/>
  <c r="K466" i="166"/>
  <c r="K467" i="166" s="1"/>
  <c r="J466" i="166"/>
  <c r="I466" i="166"/>
  <c r="H466" i="166"/>
  <c r="G466" i="166"/>
  <c r="H467" i="166" s="1"/>
  <c r="G454" i="166"/>
  <c r="Q451" i="166"/>
  <c r="K451" i="166"/>
  <c r="Q450" i="166"/>
  <c r="P450" i="166"/>
  <c r="P451" i="166" s="1"/>
  <c r="O450" i="166"/>
  <c r="O451" i="166" s="1"/>
  <c r="N450" i="166"/>
  <c r="N451" i="166" s="1"/>
  <c r="M450" i="166"/>
  <c r="M451" i="166" s="1"/>
  <c r="L450" i="166"/>
  <c r="K450" i="166"/>
  <c r="L451" i="166" s="1"/>
  <c r="J450" i="166"/>
  <c r="I450" i="166"/>
  <c r="H450" i="166"/>
  <c r="H451" i="166" s="1"/>
  <c r="G450" i="166"/>
  <c r="Q449" i="166"/>
  <c r="J449" i="166"/>
  <c r="I449" i="166"/>
  <c r="Q448" i="166"/>
  <c r="P448" i="166"/>
  <c r="P449" i="166" s="1"/>
  <c r="O448" i="166"/>
  <c r="N448" i="166"/>
  <c r="M448" i="166"/>
  <c r="L448" i="166"/>
  <c r="L449" i="166" s="1"/>
  <c r="K448" i="166"/>
  <c r="K449" i="166" s="1"/>
  <c r="J448" i="166"/>
  <c r="I448" i="166"/>
  <c r="H448" i="166"/>
  <c r="H449" i="166" s="1"/>
  <c r="G448" i="166"/>
  <c r="G436" i="166"/>
  <c r="F435" i="166"/>
  <c r="M433" i="166"/>
  <c r="H433" i="166"/>
  <c r="Q432" i="166"/>
  <c r="P432" i="166"/>
  <c r="P433" i="166" s="1"/>
  <c r="O432" i="166"/>
  <c r="O433" i="166" s="1"/>
  <c r="N432" i="166"/>
  <c r="N433" i="166" s="1"/>
  <c r="M432" i="166"/>
  <c r="L432" i="166"/>
  <c r="L433" i="166" s="1"/>
  <c r="K432" i="166"/>
  <c r="J432" i="166"/>
  <c r="K433" i="166" s="1"/>
  <c r="I432" i="166"/>
  <c r="H432" i="166"/>
  <c r="G432" i="166"/>
  <c r="P431" i="166"/>
  <c r="M431" i="166"/>
  <c r="L431" i="166"/>
  <c r="Q430" i="166"/>
  <c r="Q431" i="166" s="1"/>
  <c r="P430" i="166"/>
  <c r="O430" i="166"/>
  <c r="N430" i="166"/>
  <c r="N431" i="166" s="1"/>
  <c r="M430" i="166"/>
  <c r="L430" i="166"/>
  <c r="K430" i="166"/>
  <c r="K431" i="166" s="1"/>
  <c r="J430" i="166"/>
  <c r="I430" i="166"/>
  <c r="H430" i="166"/>
  <c r="G430" i="166"/>
  <c r="H431" i="166" s="1"/>
  <c r="G418" i="166"/>
  <c r="Q415" i="166"/>
  <c r="O415" i="166"/>
  <c r="N415" i="166"/>
  <c r="L415" i="166"/>
  <c r="H415" i="166"/>
  <c r="Q414" i="166"/>
  <c r="P414" i="166"/>
  <c r="O414" i="166"/>
  <c r="N414" i="166"/>
  <c r="M414" i="166"/>
  <c r="M415" i="166" s="1"/>
  <c r="L414" i="166"/>
  <c r="K414" i="166"/>
  <c r="J414" i="166"/>
  <c r="J415" i="166" s="1"/>
  <c r="I414" i="166"/>
  <c r="I415" i="166" s="1"/>
  <c r="H414" i="166"/>
  <c r="G414" i="166"/>
  <c r="K413" i="166"/>
  <c r="J413" i="166"/>
  <c r="Q412" i="166"/>
  <c r="Q413" i="166" s="1"/>
  <c r="P412" i="166"/>
  <c r="O412" i="166"/>
  <c r="N412" i="166"/>
  <c r="M412" i="166"/>
  <c r="M413" i="166" s="1"/>
  <c r="L412" i="166"/>
  <c r="L413" i="166" s="1"/>
  <c r="K412" i="166"/>
  <c r="J412" i="166"/>
  <c r="I412" i="166"/>
  <c r="I413" i="166" s="1"/>
  <c r="H412" i="166"/>
  <c r="G412" i="166"/>
  <c r="H413" i="166" s="1"/>
  <c r="G400" i="166"/>
  <c r="F399" i="166"/>
  <c r="Q397" i="166"/>
  <c r="O397" i="166"/>
  <c r="N397" i="166"/>
  <c r="Q396" i="166"/>
  <c r="P396" i="166"/>
  <c r="P397" i="166" s="1"/>
  <c r="O396" i="166"/>
  <c r="N396" i="166"/>
  <c r="M396" i="166"/>
  <c r="M397" i="166" s="1"/>
  <c r="L396" i="166"/>
  <c r="K396" i="166"/>
  <c r="J396" i="166"/>
  <c r="I396" i="166"/>
  <c r="I397" i="166" s="1"/>
  <c r="H396" i="166"/>
  <c r="H397" i="166" s="1"/>
  <c r="G396" i="166"/>
  <c r="N395" i="166"/>
  <c r="L395" i="166"/>
  <c r="K395" i="166"/>
  <c r="Q394" i="166"/>
  <c r="P394" i="166"/>
  <c r="O394" i="166"/>
  <c r="N394" i="166"/>
  <c r="M394" i="166"/>
  <c r="M395" i="166" s="1"/>
  <c r="L394" i="166"/>
  <c r="K394" i="166"/>
  <c r="J394" i="166"/>
  <c r="J395" i="166" s="1"/>
  <c r="I394" i="166"/>
  <c r="H394" i="166"/>
  <c r="G394" i="166"/>
  <c r="G382" i="166"/>
  <c r="F381" i="166"/>
  <c r="P379" i="166"/>
  <c r="O379" i="166"/>
  <c r="H379" i="166"/>
  <c r="Q378" i="166"/>
  <c r="Q379" i="166" s="1"/>
  <c r="P378" i="166"/>
  <c r="O378" i="166"/>
  <c r="N378" i="166"/>
  <c r="N379" i="166" s="1"/>
  <c r="M378" i="166"/>
  <c r="L378" i="166"/>
  <c r="L379" i="166" s="1"/>
  <c r="K378" i="166"/>
  <c r="J378" i="166"/>
  <c r="J379" i="166" s="1"/>
  <c r="I378" i="166"/>
  <c r="I379" i="166" s="1"/>
  <c r="H378" i="166"/>
  <c r="G378" i="166"/>
  <c r="O377" i="166"/>
  <c r="L377" i="166"/>
  <c r="Q376" i="166"/>
  <c r="Q377" i="166" s="1"/>
  <c r="P376" i="166"/>
  <c r="O376" i="166"/>
  <c r="N376" i="166"/>
  <c r="N377" i="166" s="1"/>
  <c r="M376" i="166"/>
  <c r="L376" i="166"/>
  <c r="M377" i="166" s="1"/>
  <c r="K376" i="166"/>
  <c r="K377" i="166" s="1"/>
  <c r="J376" i="166"/>
  <c r="I376" i="166"/>
  <c r="I377" i="166" s="1"/>
  <c r="H376" i="166"/>
  <c r="G376" i="166"/>
  <c r="G364" i="166"/>
  <c r="Q361" i="166"/>
  <c r="P361" i="166"/>
  <c r="I361" i="166"/>
  <c r="H361" i="166"/>
  <c r="Q360" i="166"/>
  <c r="P360" i="166"/>
  <c r="O360" i="166"/>
  <c r="O361" i="166" s="1"/>
  <c r="N360" i="166"/>
  <c r="M360" i="166"/>
  <c r="M361" i="166" s="1"/>
  <c r="L360" i="166"/>
  <c r="K360" i="166"/>
  <c r="J360" i="166"/>
  <c r="J361" i="166" s="1"/>
  <c r="I360" i="166"/>
  <c r="H360" i="166"/>
  <c r="G360" i="166"/>
  <c r="M359" i="166"/>
  <c r="H359" i="166"/>
  <c r="Q358" i="166"/>
  <c r="Q359" i="166" s="1"/>
  <c r="P358" i="166"/>
  <c r="O358" i="166"/>
  <c r="O359" i="166" s="1"/>
  <c r="N358" i="166"/>
  <c r="M358" i="166"/>
  <c r="N359" i="166" s="1"/>
  <c r="L358" i="166"/>
  <c r="L359" i="166" s="1"/>
  <c r="K358" i="166"/>
  <c r="J358" i="166"/>
  <c r="I358" i="166"/>
  <c r="I359" i="166" s="1"/>
  <c r="H358" i="166"/>
  <c r="G358" i="166"/>
  <c r="G346" i="166"/>
  <c r="F345" i="166"/>
  <c r="O343" i="166"/>
  <c r="Q342" i="166"/>
  <c r="Q343" i="166" s="1"/>
  <c r="P342" i="166"/>
  <c r="P343" i="166" s="1"/>
  <c r="O342" i="166"/>
  <c r="N342" i="166"/>
  <c r="N343" i="166" s="1"/>
  <c r="M342" i="166"/>
  <c r="L342" i="166"/>
  <c r="L343" i="166" s="1"/>
  <c r="K342" i="166"/>
  <c r="K343" i="166" s="1"/>
  <c r="J342" i="166"/>
  <c r="I342" i="166"/>
  <c r="J343" i="166" s="1"/>
  <c r="H342" i="166"/>
  <c r="H343" i="166" s="1"/>
  <c r="G342" i="166"/>
  <c r="O341" i="166"/>
  <c r="N341" i="166"/>
  <c r="Q340" i="166"/>
  <c r="Q341" i="166" s="1"/>
  <c r="P340" i="166"/>
  <c r="P341" i="166" s="1"/>
  <c r="O340" i="166"/>
  <c r="N340" i="166"/>
  <c r="M340" i="166"/>
  <c r="M341" i="166" s="1"/>
  <c r="L340" i="166"/>
  <c r="K340" i="166"/>
  <c r="K341" i="166" s="1"/>
  <c r="J340" i="166"/>
  <c r="I340" i="166"/>
  <c r="I341" i="166" s="1"/>
  <c r="H340" i="166"/>
  <c r="H341" i="166" s="1"/>
  <c r="G340" i="166"/>
  <c r="G328" i="166"/>
  <c r="F327" i="166"/>
  <c r="H325" i="166"/>
  <c r="Q324" i="166"/>
  <c r="Q325" i="166" s="1"/>
  <c r="P324" i="166"/>
  <c r="O324" i="166"/>
  <c r="O325" i="166" s="1"/>
  <c r="N324" i="166"/>
  <c r="M324" i="166"/>
  <c r="M325" i="166" s="1"/>
  <c r="L324" i="166"/>
  <c r="L325" i="166" s="1"/>
  <c r="K324" i="166"/>
  <c r="J324" i="166"/>
  <c r="I324" i="166"/>
  <c r="I325" i="166" s="1"/>
  <c r="H324" i="166"/>
  <c r="G324" i="166"/>
  <c r="O323" i="166"/>
  <c r="H323" i="166"/>
  <c r="Q322" i="166"/>
  <c r="Q323" i="166" s="1"/>
  <c r="P322" i="166"/>
  <c r="O322" i="166"/>
  <c r="P323" i="166" s="1"/>
  <c r="N322" i="166"/>
  <c r="N323" i="166" s="1"/>
  <c r="M322" i="166"/>
  <c r="L322" i="166"/>
  <c r="L323" i="166" s="1"/>
  <c r="K322" i="166"/>
  <c r="J322" i="166"/>
  <c r="I322" i="166"/>
  <c r="I323" i="166" s="1"/>
  <c r="H322" i="166"/>
  <c r="G322" i="166"/>
  <c r="G310" i="166"/>
  <c r="Q307" i="166"/>
  <c r="K307" i="166"/>
  <c r="Q306" i="166"/>
  <c r="P306" i="166"/>
  <c r="O306" i="166"/>
  <c r="N306" i="166"/>
  <c r="N307" i="166" s="1"/>
  <c r="M306" i="166"/>
  <c r="M307" i="166" s="1"/>
  <c r="L306" i="166"/>
  <c r="K306" i="166"/>
  <c r="L307" i="166" s="1"/>
  <c r="J306" i="166"/>
  <c r="J307" i="166" s="1"/>
  <c r="I306" i="166"/>
  <c r="H306" i="166"/>
  <c r="G306" i="166"/>
  <c r="P305" i="166"/>
  <c r="K305" i="166"/>
  <c r="Q304" i="166"/>
  <c r="P304" i="166"/>
  <c r="Q305" i="166" s="1"/>
  <c r="O304" i="166"/>
  <c r="O305" i="166" s="1"/>
  <c r="N304" i="166"/>
  <c r="M304" i="166"/>
  <c r="M305" i="166" s="1"/>
  <c r="L304" i="166"/>
  <c r="K304" i="166"/>
  <c r="J304" i="166"/>
  <c r="J305" i="166" s="1"/>
  <c r="I304" i="166"/>
  <c r="H304" i="166"/>
  <c r="I305" i="166" s="1"/>
  <c r="G304" i="166"/>
  <c r="G292" i="166"/>
  <c r="F291" i="166"/>
  <c r="N289" i="166"/>
  <c r="M289" i="166"/>
  <c r="L289" i="166"/>
  <c r="Q288" i="166"/>
  <c r="P288" i="166"/>
  <c r="P289" i="166" s="1"/>
  <c r="O288" i="166"/>
  <c r="O289" i="166" s="1"/>
  <c r="N288" i="166"/>
  <c r="M288" i="166"/>
  <c r="L288" i="166"/>
  <c r="K288" i="166"/>
  <c r="J288" i="166"/>
  <c r="J289" i="166" s="1"/>
  <c r="I288" i="166"/>
  <c r="H288" i="166"/>
  <c r="H289" i="166" s="1"/>
  <c r="G288" i="166"/>
  <c r="Q287" i="166"/>
  <c r="O287" i="166"/>
  <c r="M287" i="166"/>
  <c r="K287" i="166"/>
  <c r="Q286" i="166"/>
  <c r="P286" i="166"/>
  <c r="O286" i="166"/>
  <c r="N286" i="166"/>
  <c r="N287" i="166" s="1"/>
  <c r="M286" i="166"/>
  <c r="L286" i="166"/>
  <c r="L287" i="166" s="1"/>
  <c r="K286" i="166"/>
  <c r="J286" i="166"/>
  <c r="I286" i="166"/>
  <c r="J287" i="166" s="1"/>
  <c r="H286" i="166"/>
  <c r="G286" i="166"/>
  <c r="G274" i="166"/>
  <c r="N271" i="166"/>
  <c r="K271" i="166"/>
  <c r="Q270" i="166"/>
  <c r="Q271" i="166" s="1"/>
  <c r="P270" i="166"/>
  <c r="P271" i="166" s="1"/>
  <c r="O270" i="166"/>
  <c r="O271" i="166" s="1"/>
  <c r="N270" i="166"/>
  <c r="M270" i="166"/>
  <c r="M271" i="166" s="1"/>
  <c r="L270" i="166"/>
  <c r="K270" i="166"/>
  <c r="L271" i="166" s="1"/>
  <c r="J270" i="166"/>
  <c r="J271" i="166" s="1"/>
  <c r="I270" i="166"/>
  <c r="I271" i="166" s="1"/>
  <c r="H270" i="166"/>
  <c r="H271" i="166" s="1"/>
  <c r="G270" i="166"/>
  <c r="P269" i="166"/>
  <c r="N269" i="166"/>
  <c r="M269" i="166"/>
  <c r="Q268" i="166"/>
  <c r="P268" i="166"/>
  <c r="Q269" i="166" s="1"/>
  <c r="O268" i="166"/>
  <c r="O269" i="166" s="1"/>
  <c r="N268" i="166"/>
  <c r="M268" i="166"/>
  <c r="L268" i="166"/>
  <c r="L269" i="166" s="1"/>
  <c r="K268" i="166"/>
  <c r="J268" i="166"/>
  <c r="K269" i="166" s="1"/>
  <c r="I268" i="166"/>
  <c r="H268" i="166"/>
  <c r="G268" i="166"/>
  <c r="G256" i="166"/>
  <c r="F255" i="166"/>
  <c r="L253" i="166"/>
  <c r="Q252" i="166"/>
  <c r="Q253" i="166" s="1"/>
  <c r="P252" i="166"/>
  <c r="P253" i="166" s="1"/>
  <c r="O252" i="166"/>
  <c r="N252" i="166"/>
  <c r="O253" i="166" s="1"/>
  <c r="M252" i="166"/>
  <c r="L252" i="166"/>
  <c r="M253" i="166" s="1"/>
  <c r="K252" i="166"/>
  <c r="K253" i="166" s="1"/>
  <c r="J252" i="166"/>
  <c r="I252" i="166"/>
  <c r="J253" i="166" s="1"/>
  <c r="H252" i="166"/>
  <c r="H253" i="166" s="1"/>
  <c r="G252" i="166"/>
  <c r="Q251" i="166"/>
  <c r="Q250" i="166"/>
  <c r="P250" i="166"/>
  <c r="P251" i="166" s="1"/>
  <c r="O250" i="166"/>
  <c r="O251" i="166" s="1"/>
  <c r="N250" i="166"/>
  <c r="N251" i="166" s="1"/>
  <c r="M250" i="166"/>
  <c r="M251" i="166" s="1"/>
  <c r="L250" i="166"/>
  <c r="K250" i="166"/>
  <c r="L251" i="166" s="1"/>
  <c r="J250" i="166"/>
  <c r="I250" i="166"/>
  <c r="H250" i="166"/>
  <c r="H251" i="166" s="1"/>
  <c r="G250" i="166"/>
  <c r="G238" i="166"/>
  <c r="F237" i="166"/>
  <c r="O235" i="166"/>
  <c r="N235" i="166"/>
  <c r="H235" i="166"/>
  <c r="Q234" i="166"/>
  <c r="Q235" i="166" s="1"/>
  <c r="P234" i="166"/>
  <c r="P235" i="166" s="1"/>
  <c r="O234" i="166"/>
  <c r="N234" i="166"/>
  <c r="M234" i="166"/>
  <c r="L234" i="166"/>
  <c r="M235" i="166" s="1"/>
  <c r="K234" i="166"/>
  <c r="J234" i="166"/>
  <c r="I234" i="166"/>
  <c r="I235" i="166" s="1"/>
  <c r="H234" i="166"/>
  <c r="G234" i="166"/>
  <c r="L233" i="166"/>
  <c r="K233" i="166"/>
  <c r="Q232" i="166"/>
  <c r="Q233" i="166" s="1"/>
  <c r="P232" i="166"/>
  <c r="O232" i="166"/>
  <c r="O233" i="166" s="1"/>
  <c r="N232" i="166"/>
  <c r="M232" i="166"/>
  <c r="M233" i="166" s="1"/>
  <c r="L232" i="166"/>
  <c r="K232" i="166"/>
  <c r="J232" i="166"/>
  <c r="I232" i="166"/>
  <c r="J233" i="166" s="1"/>
  <c r="H232" i="166"/>
  <c r="G232" i="166"/>
  <c r="G220" i="166"/>
  <c r="F219" i="166"/>
  <c r="Q217" i="166"/>
  <c r="P217" i="166"/>
  <c r="O217" i="166"/>
  <c r="I217" i="166"/>
  <c r="H217" i="166"/>
  <c r="Q216" i="166"/>
  <c r="P216" i="166"/>
  <c r="O216" i="166"/>
  <c r="N216" i="166"/>
  <c r="N217" i="166" s="1"/>
  <c r="M216" i="166"/>
  <c r="M217" i="166" s="1"/>
  <c r="L216" i="166"/>
  <c r="K216" i="166"/>
  <c r="J216" i="166"/>
  <c r="J217" i="166" s="1"/>
  <c r="I216" i="166"/>
  <c r="H216" i="166"/>
  <c r="G216" i="166"/>
  <c r="P215" i="166"/>
  <c r="O215" i="166"/>
  <c r="N215" i="166"/>
  <c r="H215" i="166"/>
  <c r="Q214" i="166"/>
  <c r="Q215" i="166" s="1"/>
  <c r="P214" i="166"/>
  <c r="O214" i="166"/>
  <c r="N214" i="166"/>
  <c r="M214" i="166"/>
  <c r="M215" i="166" s="1"/>
  <c r="L214" i="166"/>
  <c r="K214" i="166"/>
  <c r="J214" i="166"/>
  <c r="J215" i="166" s="1"/>
  <c r="I214" i="166"/>
  <c r="I215" i="166" s="1"/>
  <c r="H214" i="166"/>
  <c r="G214" i="166"/>
  <c r="D204" i="166"/>
  <c r="D203" i="166"/>
  <c r="G202" i="166"/>
  <c r="D202" i="166"/>
  <c r="N199" i="166"/>
  <c r="M199" i="166"/>
  <c r="L199" i="166"/>
  <c r="Q198" i="166"/>
  <c r="P198" i="166"/>
  <c r="P199" i="166" s="1"/>
  <c r="O198" i="166"/>
  <c r="O199" i="166" s="1"/>
  <c r="N198" i="166"/>
  <c r="M198" i="166"/>
  <c r="L198" i="166"/>
  <c r="K198" i="166"/>
  <c r="K199" i="166" s="1"/>
  <c r="J198" i="166"/>
  <c r="I198" i="166"/>
  <c r="H198" i="166"/>
  <c r="H199" i="166" s="1"/>
  <c r="G198" i="166"/>
  <c r="M197" i="166"/>
  <c r="L197" i="166"/>
  <c r="K197" i="166"/>
  <c r="Q196" i="166"/>
  <c r="Q197" i="166" s="1"/>
  <c r="P196" i="166"/>
  <c r="O196" i="166"/>
  <c r="N196" i="166"/>
  <c r="N197" i="166" s="1"/>
  <c r="M196" i="166"/>
  <c r="L196" i="166"/>
  <c r="K196" i="166"/>
  <c r="J196" i="166"/>
  <c r="J197" i="166" s="1"/>
  <c r="I196" i="166"/>
  <c r="I197" i="166" s="1"/>
  <c r="H196" i="166"/>
  <c r="G196" i="166"/>
  <c r="G184" i="166"/>
  <c r="D184" i="166"/>
  <c r="Q181" i="166"/>
  <c r="K181" i="166"/>
  <c r="J181" i="166"/>
  <c r="I181" i="166"/>
  <c r="Q180" i="166"/>
  <c r="P180" i="166"/>
  <c r="P181" i="166" s="1"/>
  <c r="O180" i="166"/>
  <c r="N180" i="166"/>
  <c r="N181" i="166" s="1"/>
  <c r="M180" i="166"/>
  <c r="L180" i="166"/>
  <c r="L181" i="166" s="1"/>
  <c r="K180" i="166"/>
  <c r="J180" i="166"/>
  <c r="I180" i="166"/>
  <c r="H180" i="166"/>
  <c r="H181" i="166" s="1"/>
  <c r="G180" i="166"/>
  <c r="Q179" i="166"/>
  <c r="P179" i="166"/>
  <c r="J179" i="166"/>
  <c r="I179" i="166"/>
  <c r="H179" i="166"/>
  <c r="Q178" i="166"/>
  <c r="P178" i="166"/>
  <c r="O178" i="166"/>
  <c r="O179" i="166" s="1"/>
  <c r="N178" i="166"/>
  <c r="M178" i="166"/>
  <c r="M179" i="166" s="1"/>
  <c r="L178" i="166"/>
  <c r="K178" i="166"/>
  <c r="K179" i="166" s="1"/>
  <c r="J178" i="166"/>
  <c r="I178" i="166"/>
  <c r="H178" i="166"/>
  <c r="G178" i="166"/>
  <c r="G166" i="166"/>
  <c r="D166" i="166"/>
  <c r="P163" i="166"/>
  <c r="O163" i="166"/>
  <c r="N163" i="166"/>
  <c r="H163" i="166"/>
  <c r="Q162" i="166"/>
  <c r="Q163" i="166" s="1"/>
  <c r="P162" i="166"/>
  <c r="O162" i="166"/>
  <c r="N162" i="166"/>
  <c r="M162" i="166"/>
  <c r="M163" i="166" s="1"/>
  <c r="L162" i="166"/>
  <c r="K162" i="166"/>
  <c r="J162" i="166"/>
  <c r="J163" i="166" s="1"/>
  <c r="I162" i="166"/>
  <c r="I163" i="166" s="1"/>
  <c r="H162" i="166"/>
  <c r="G162" i="166"/>
  <c r="O161" i="166"/>
  <c r="N161" i="166"/>
  <c r="M161" i="166"/>
  <c r="Q160" i="166"/>
  <c r="Q161" i="166" s="1"/>
  <c r="P160" i="166"/>
  <c r="P161" i="166" s="1"/>
  <c r="O160" i="166"/>
  <c r="N160" i="166"/>
  <c r="M160" i="166"/>
  <c r="L160" i="166"/>
  <c r="L161" i="166" s="1"/>
  <c r="K160" i="166"/>
  <c r="J160" i="166"/>
  <c r="I160" i="166"/>
  <c r="I161" i="166" s="1"/>
  <c r="H160" i="166"/>
  <c r="H161" i="166" s="1"/>
  <c r="G160" i="166"/>
  <c r="D149" i="166"/>
  <c r="G148" i="166"/>
  <c r="D148" i="166"/>
  <c r="M145" i="166"/>
  <c r="L145" i="166"/>
  <c r="K145" i="166"/>
  <c r="Q144" i="166"/>
  <c r="Q145" i="166" s="1"/>
  <c r="P144" i="166"/>
  <c r="O144" i="166"/>
  <c r="O145" i="166" s="1"/>
  <c r="N144" i="166"/>
  <c r="N145" i="166" s="1"/>
  <c r="M144" i="166"/>
  <c r="L144" i="166"/>
  <c r="K144" i="166"/>
  <c r="J144" i="166"/>
  <c r="J145" i="166" s="1"/>
  <c r="I144" i="166"/>
  <c r="I145" i="166" s="1"/>
  <c r="H144" i="166"/>
  <c r="G144" i="166"/>
  <c r="L143" i="166"/>
  <c r="K143" i="166"/>
  <c r="J143" i="166"/>
  <c r="Q142" i="166"/>
  <c r="Q143" i="166" s="1"/>
  <c r="P142" i="166"/>
  <c r="P143" i="166" s="1"/>
  <c r="O142" i="166"/>
  <c r="N142" i="166"/>
  <c r="N143" i="166" s="1"/>
  <c r="M142" i="166"/>
  <c r="M143" i="166" s="1"/>
  <c r="L142" i="166"/>
  <c r="K142" i="166"/>
  <c r="J142" i="166"/>
  <c r="I142" i="166"/>
  <c r="I143" i="166" s="1"/>
  <c r="H142" i="166"/>
  <c r="H143" i="166" s="1"/>
  <c r="G142" i="166"/>
  <c r="G130" i="166"/>
  <c r="D130" i="166"/>
  <c r="Q127" i="166"/>
  <c r="P127" i="166"/>
  <c r="J127" i="166"/>
  <c r="I127" i="166"/>
  <c r="H127" i="166"/>
  <c r="Q126" i="166"/>
  <c r="P126" i="166"/>
  <c r="O126" i="166"/>
  <c r="O127" i="166" s="1"/>
  <c r="N126" i="166"/>
  <c r="M126" i="166"/>
  <c r="M127" i="166" s="1"/>
  <c r="L126" i="166"/>
  <c r="K126" i="166"/>
  <c r="K127" i="166" s="1"/>
  <c r="J126" i="166"/>
  <c r="I126" i="166"/>
  <c r="H126" i="166"/>
  <c r="G126" i="166"/>
  <c r="Q125" i="166"/>
  <c r="P125" i="166"/>
  <c r="O125" i="166"/>
  <c r="I125" i="166"/>
  <c r="H125" i="166"/>
  <c r="Q124" i="166"/>
  <c r="P124" i="166"/>
  <c r="O124" i="166"/>
  <c r="N124" i="166"/>
  <c r="N125" i="166" s="1"/>
  <c r="M124" i="166"/>
  <c r="L124" i="166"/>
  <c r="K124" i="166"/>
  <c r="K125" i="166" s="1"/>
  <c r="J124" i="166"/>
  <c r="J125" i="166" s="1"/>
  <c r="I124" i="166"/>
  <c r="H124" i="166"/>
  <c r="G124" i="166"/>
  <c r="G112" i="166"/>
  <c r="D112" i="166"/>
  <c r="J107" i="166"/>
  <c r="H107" i="166"/>
  <c r="J105" i="166"/>
  <c r="N103" i="166"/>
  <c r="N105" i="166" s="1"/>
  <c r="M103" i="166"/>
  <c r="M105" i="166" s="1"/>
  <c r="L103" i="166"/>
  <c r="L105" i="166" s="1"/>
  <c r="L107" i="166" s="1"/>
  <c r="P101" i="166"/>
  <c r="P103" i="166" s="1"/>
  <c r="P105" i="166" s="1"/>
  <c r="O101" i="166"/>
  <c r="O103" i="166" s="1"/>
  <c r="O105" i="166" s="1"/>
  <c r="N101" i="166"/>
  <c r="M101" i="166"/>
  <c r="L101" i="166"/>
  <c r="K101" i="166"/>
  <c r="K103" i="166" s="1"/>
  <c r="K105" i="166" s="1"/>
  <c r="K107" i="166" s="1"/>
  <c r="J101" i="166"/>
  <c r="J103" i="166" s="1"/>
  <c r="I101" i="166"/>
  <c r="I103" i="166" s="1"/>
  <c r="I105" i="166" s="1"/>
  <c r="I107" i="166" s="1"/>
  <c r="H101" i="166"/>
  <c r="H103" i="166" s="1"/>
  <c r="H105" i="166" s="1"/>
  <c r="G101" i="166"/>
  <c r="Q89" i="166"/>
  <c r="Q1059" i="166" s="1"/>
  <c r="P89" i="166"/>
  <c r="P1059" i="166" s="1"/>
  <c r="O89" i="166"/>
  <c r="O1059" i="166" s="1"/>
  <c r="N89" i="166"/>
  <c r="N1059" i="166" s="1"/>
  <c r="M89" i="166"/>
  <c r="M1059" i="166" s="1"/>
  <c r="L89" i="166"/>
  <c r="L1059" i="166" s="1"/>
  <c r="K89" i="166"/>
  <c r="K1059" i="166" s="1"/>
  <c r="J89" i="166"/>
  <c r="J1059" i="166" s="1"/>
  <c r="I89" i="166"/>
  <c r="I1059" i="166" s="1"/>
  <c r="H89" i="166"/>
  <c r="H1059" i="166" s="1"/>
  <c r="G89" i="166"/>
  <c r="G1059" i="166" s="1"/>
  <c r="Q88" i="166"/>
  <c r="Q1055" i="166" s="1"/>
  <c r="P88" i="166"/>
  <c r="P1055" i="166" s="1"/>
  <c r="O88" i="166"/>
  <c r="O1055" i="166" s="1"/>
  <c r="N88" i="166"/>
  <c r="N1055" i="166" s="1"/>
  <c r="M88" i="166"/>
  <c r="M1055" i="166" s="1"/>
  <c r="L88" i="166"/>
  <c r="L1055" i="166" s="1"/>
  <c r="K88" i="166"/>
  <c r="K1055" i="166" s="1"/>
  <c r="J88" i="166"/>
  <c r="J1055" i="166" s="1"/>
  <c r="I88" i="166"/>
  <c r="I1055" i="166" s="1"/>
  <c r="H88" i="166"/>
  <c r="H1055" i="166" s="1"/>
  <c r="G88" i="166"/>
  <c r="G1055" i="166" s="1"/>
  <c r="Q85" i="166"/>
  <c r="Q1057" i="166" s="1"/>
  <c r="P85" i="166"/>
  <c r="O85" i="166"/>
  <c r="O1057" i="166" s="1"/>
  <c r="N85" i="166"/>
  <c r="N1057" i="166" s="1"/>
  <c r="M85" i="166"/>
  <c r="M1057" i="166" s="1"/>
  <c r="L85" i="166"/>
  <c r="L1057" i="166" s="1"/>
  <c r="K85" i="166"/>
  <c r="K1057" i="166" s="1"/>
  <c r="J85" i="166"/>
  <c r="J1057" i="166" s="1"/>
  <c r="I85" i="166"/>
  <c r="I1057" i="166" s="1"/>
  <c r="H85" i="166"/>
  <c r="G85" i="166"/>
  <c r="G1057" i="166" s="1"/>
  <c r="Q84" i="166"/>
  <c r="Q87" i="166" s="1"/>
  <c r="Q94" i="166" s="1"/>
  <c r="P84" i="166"/>
  <c r="O84" i="166"/>
  <c r="O1053" i="166" s="1"/>
  <c r="N84" i="166"/>
  <c r="N1053" i="166" s="1"/>
  <c r="M84" i="166"/>
  <c r="M1053" i="166" s="1"/>
  <c r="L84" i="166"/>
  <c r="K84" i="166"/>
  <c r="K1053" i="166" s="1"/>
  <c r="J84" i="166"/>
  <c r="J87" i="166" s="1"/>
  <c r="J94" i="166" s="1"/>
  <c r="I84" i="166"/>
  <c r="I87" i="166" s="1"/>
  <c r="H84" i="166"/>
  <c r="G84" i="166"/>
  <c r="G1053" i="166" s="1"/>
  <c r="M46" i="166"/>
  <c r="L46" i="166"/>
  <c r="K46" i="166"/>
  <c r="O45" i="166"/>
  <c r="N45" i="166"/>
  <c r="M45" i="166"/>
  <c r="Q44" i="166"/>
  <c r="Q45" i="166" s="1"/>
  <c r="P44" i="166"/>
  <c r="P45" i="166" s="1"/>
  <c r="O44" i="166"/>
  <c r="N44" i="166"/>
  <c r="M44" i="166"/>
  <c r="L44" i="166"/>
  <c r="K44" i="166"/>
  <c r="K45" i="166" s="1"/>
  <c r="J44" i="166"/>
  <c r="J45" i="166" s="1"/>
  <c r="I44" i="166"/>
  <c r="I45" i="166" s="1"/>
  <c r="H44" i="166"/>
  <c r="H45" i="166" s="1"/>
  <c r="G44" i="166"/>
  <c r="Q43" i="166"/>
  <c r="N43" i="166"/>
  <c r="I43" i="166"/>
  <c r="H43" i="166"/>
  <c r="Q42" i="166"/>
  <c r="P42" i="166"/>
  <c r="P43" i="166" s="1"/>
  <c r="O42" i="166"/>
  <c r="O43" i="166" s="1"/>
  <c r="N42" i="166"/>
  <c r="M42" i="166"/>
  <c r="L42" i="166"/>
  <c r="M43" i="166" s="1"/>
  <c r="K42" i="166"/>
  <c r="J42" i="166"/>
  <c r="J43" i="166" s="1"/>
  <c r="I42" i="166"/>
  <c r="H42" i="166"/>
  <c r="G42" i="166"/>
  <c r="Q39" i="166"/>
  <c r="Q46" i="166" s="1"/>
  <c r="P39" i="166"/>
  <c r="P46" i="166" s="1"/>
  <c r="O39" i="166"/>
  <c r="O46" i="166" s="1"/>
  <c r="N39" i="166"/>
  <c r="N46" i="166" s="1"/>
  <c r="M39" i="166"/>
  <c r="L39" i="166"/>
  <c r="K39" i="166"/>
  <c r="J39" i="166"/>
  <c r="J46" i="166" s="1"/>
  <c r="I39" i="166"/>
  <c r="I46" i="166" s="1"/>
  <c r="H39" i="166"/>
  <c r="H46" i="166" s="1"/>
  <c r="G39" i="166"/>
  <c r="G46" i="166" s="1"/>
  <c r="B31" i="166"/>
  <c r="I24" i="166"/>
  <c r="H24" i="166"/>
  <c r="G24" i="166"/>
  <c r="B15" i="166"/>
  <c r="F13" i="166"/>
  <c r="I12" i="166"/>
  <c r="I425" i="166" s="1"/>
  <c r="E8" i="166"/>
  <c r="E7" i="166"/>
  <c r="E1" i="166"/>
  <c r="E281" i="165"/>
  <c r="E278" i="165"/>
  <c r="E276" i="165"/>
  <c r="E275" i="165"/>
  <c r="E274" i="165"/>
  <c r="E273" i="165"/>
  <c r="E272" i="165"/>
  <c r="E271" i="165"/>
  <c r="E270" i="165"/>
  <c r="E269" i="165"/>
  <c r="E268" i="165"/>
  <c r="E267" i="165"/>
  <c r="E266" i="165"/>
  <c r="E265" i="165"/>
  <c r="E264" i="165"/>
  <c r="E263" i="165"/>
  <c r="E262" i="165"/>
  <c r="E261" i="165"/>
  <c r="E260" i="165"/>
  <c r="E259" i="165"/>
  <c r="E258" i="165"/>
  <c r="E257" i="165"/>
  <c r="E256" i="165"/>
  <c r="E255" i="165"/>
  <c r="E254" i="165"/>
  <c r="E253" i="165"/>
  <c r="E252" i="165"/>
  <c r="E251" i="165"/>
  <c r="E250" i="165"/>
  <c r="E248" i="165"/>
  <c r="E247" i="165"/>
  <c r="E246" i="165"/>
  <c r="E245" i="165"/>
  <c r="E244" i="165"/>
  <c r="E243" i="165"/>
  <c r="E242" i="165"/>
  <c r="E241" i="165"/>
  <c r="E240" i="165"/>
  <c r="E239" i="165"/>
  <c r="E238" i="165"/>
  <c r="E237" i="165"/>
  <c r="E236" i="165"/>
  <c r="E235" i="165"/>
  <c r="E234" i="165"/>
  <c r="E233" i="165"/>
  <c r="E232" i="165"/>
  <c r="E231" i="165"/>
  <c r="E230" i="165"/>
  <c r="E229" i="165"/>
  <c r="E228" i="165"/>
  <c r="E227" i="165"/>
  <c r="E226" i="165"/>
  <c r="E225" i="165"/>
  <c r="E224" i="165"/>
  <c r="E223" i="165"/>
  <c r="E222" i="165"/>
  <c r="A222" i="165"/>
  <c r="E213" i="165"/>
  <c r="E208" i="165"/>
  <c r="E203" i="165"/>
  <c r="E198" i="165"/>
  <c r="E193" i="165"/>
  <c r="E188" i="165"/>
  <c r="E183" i="165"/>
  <c r="E178" i="165"/>
  <c r="E173" i="165"/>
  <c r="E168" i="165"/>
  <c r="E126" i="165"/>
  <c r="E287" i="165" s="1"/>
  <c r="C126" i="165"/>
  <c r="E120" i="165"/>
  <c r="E286" i="165" s="1"/>
  <c r="C120" i="165"/>
  <c r="E114" i="165"/>
  <c r="E285" i="165" s="1"/>
  <c r="C114" i="165"/>
  <c r="E108" i="165"/>
  <c r="E284" i="165" s="1"/>
  <c r="C108" i="165"/>
  <c r="E102" i="165"/>
  <c r="E283" i="165" s="1"/>
  <c r="C102" i="165"/>
  <c r="E96" i="165"/>
  <c r="E282" i="165" s="1"/>
  <c r="C96" i="165"/>
  <c r="E90" i="165"/>
  <c r="C90" i="165"/>
  <c r="E84" i="165"/>
  <c r="E280" i="165" s="1"/>
  <c r="C84" i="165"/>
  <c r="E78" i="165"/>
  <c r="E279" i="165" s="1"/>
  <c r="C78" i="165"/>
  <c r="E72" i="165"/>
  <c r="C72" i="165"/>
  <c r="C68" i="165"/>
  <c r="C67" i="165"/>
  <c r="C65" i="165"/>
  <c r="C64" i="165"/>
  <c r="C62" i="165"/>
  <c r="C61" i="165"/>
  <c r="C59" i="165"/>
  <c r="C58" i="165"/>
  <c r="C56" i="165"/>
  <c r="C55" i="165"/>
  <c r="C53" i="165"/>
  <c r="C52" i="165"/>
  <c r="C50" i="165"/>
  <c r="C49" i="165"/>
  <c r="C47" i="165"/>
  <c r="C46" i="165"/>
  <c r="C44" i="165"/>
  <c r="C43" i="165"/>
  <c r="C36" i="165"/>
  <c r="C35" i="165"/>
  <c r="C32" i="165"/>
  <c r="C31" i="165"/>
  <c r="C30" i="165"/>
  <c r="C29" i="165"/>
  <c r="K575" i="166" l="1"/>
  <c r="M92" i="166"/>
  <c r="O577" i="166"/>
  <c r="N92" i="166"/>
  <c r="F1054" i="166"/>
  <c r="N575" i="166"/>
  <c r="H577" i="166"/>
  <c r="P577" i="166"/>
  <c r="H87" i="166"/>
  <c r="H94" i="166" s="1"/>
  <c r="P575" i="166"/>
  <c r="K577" i="166"/>
  <c r="F1056" i="166"/>
  <c r="F1058" i="166"/>
  <c r="J575" i="166"/>
  <c r="J12" i="166"/>
  <c r="H12" i="166"/>
  <c r="D4" i="165"/>
  <c r="K425" i="166"/>
  <c r="L425" i="166" s="1"/>
  <c r="M425" i="166" s="1"/>
  <c r="N425" i="166" s="1"/>
  <c r="O425" i="166" s="1"/>
  <c r="P425" i="166" s="1"/>
  <c r="Q425" i="166" s="1"/>
  <c r="J425" i="166"/>
  <c r="H425" i="166"/>
  <c r="G425" i="166" s="1"/>
  <c r="P422" i="166" s="1"/>
  <c r="O1000" i="166" s="1"/>
  <c r="J1042" i="166"/>
  <c r="L1041" i="166"/>
  <c r="M1040" i="166"/>
  <c r="O1039" i="166"/>
  <c r="G1038" i="166"/>
  <c r="O1042" i="166"/>
  <c r="P1041" i="166"/>
  <c r="H1041" i="166"/>
  <c r="G1041" i="166"/>
  <c r="I1039" i="166"/>
  <c r="N1041" i="166"/>
  <c r="K1039" i="166"/>
  <c r="G103" i="166"/>
  <c r="G105" i="166" s="1"/>
  <c r="G107" i="166" s="1"/>
  <c r="P539" i="166"/>
  <c r="Q539" i="166"/>
  <c r="K43" i="166"/>
  <c r="L1053" i="166"/>
  <c r="L87" i="166"/>
  <c r="L94" i="166" s="1"/>
  <c r="H1057" i="166"/>
  <c r="H92" i="166"/>
  <c r="P1057" i="166"/>
  <c r="P92" i="166"/>
  <c r="P87" i="166"/>
  <c r="P94" i="166" s="1"/>
  <c r="O143" i="166"/>
  <c r="H145" i="166"/>
  <c r="P145" i="166"/>
  <c r="D150" i="166"/>
  <c r="D151" i="166" s="1"/>
  <c r="N179" i="166"/>
  <c r="M181" i="166"/>
  <c r="D206" i="166"/>
  <c r="N233" i="166"/>
  <c r="K325" i="166"/>
  <c r="J325" i="166"/>
  <c r="J341" i="166"/>
  <c r="H539" i="166"/>
  <c r="I539" i="166"/>
  <c r="I839" i="166"/>
  <c r="I947" i="166"/>
  <c r="I929" i="166"/>
  <c r="I767" i="166"/>
  <c r="I623" i="166"/>
  <c r="I731" i="166"/>
  <c r="I875" i="166"/>
  <c r="I857" i="166"/>
  <c r="I713" i="166"/>
  <c r="I911" i="166"/>
  <c r="I893" i="166"/>
  <c r="I803" i="166"/>
  <c r="I533" i="166"/>
  <c r="I821" i="166"/>
  <c r="I785" i="166"/>
  <c r="I749" i="166"/>
  <c r="I497" i="166"/>
  <c r="I461" i="166"/>
  <c r="I695" i="166"/>
  <c r="I551" i="166"/>
  <c r="I515" i="166"/>
  <c r="I353" i="166"/>
  <c r="I479" i="166"/>
  <c r="I443" i="166"/>
  <c r="I317" i="166"/>
  <c r="I569" i="166"/>
  <c r="I677" i="166"/>
  <c r="I659" i="166"/>
  <c r="I407" i="166"/>
  <c r="I119" i="166"/>
  <c r="I173" i="166"/>
  <c r="I641" i="166"/>
  <c r="I137" i="166"/>
  <c r="I299" i="166"/>
  <c r="I191" i="166"/>
  <c r="I587" i="166"/>
  <c r="I605" i="166"/>
  <c r="O92" i="166"/>
  <c r="D186" i="166"/>
  <c r="D185" i="166"/>
  <c r="D187" i="166" s="1"/>
  <c r="I245" i="166"/>
  <c r="O485" i="166"/>
  <c r="N485" i="166"/>
  <c r="J559" i="166"/>
  <c r="K559" i="166"/>
  <c r="P421" i="166"/>
  <c r="O990" i="166" s="1"/>
  <c r="L43" i="166"/>
  <c r="G87" i="166"/>
  <c r="G94" i="166" s="1"/>
  <c r="K90" i="166"/>
  <c r="L125" i="166"/>
  <c r="I155" i="166"/>
  <c r="J161" i="166"/>
  <c r="K163" i="166"/>
  <c r="O181" i="166"/>
  <c r="L978" i="166"/>
  <c r="O197" i="166"/>
  <c r="I199" i="166"/>
  <c r="Q199" i="166"/>
  <c r="D205" i="166"/>
  <c r="H233" i="166"/>
  <c r="P233" i="166"/>
  <c r="J235" i="166"/>
  <c r="I263" i="166"/>
  <c r="I371" i="166"/>
  <c r="I389" i="166"/>
  <c r="P413" i="166"/>
  <c r="O413" i="166"/>
  <c r="B222" i="165"/>
  <c r="D33" i="166"/>
  <c r="L90" i="166"/>
  <c r="L91" i="166" s="1"/>
  <c r="M125" i="166"/>
  <c r="L127" i="166"/>
  <c r="K161" i="166"/>
  <c r="L163" i="166"/>
  <c r="H197" i="166"/>
  <c r="P197" i="166"/>
  <c r="J199" i="166"/>
  <c r="I209" i="166"/>
  <c r="K235" i="166"/>
  <c r="I281" i="166"/>
  <c r="J323" i="166"/>
  <c r="I505" i="166"/>
  <c r="H505" i="166"/>
  <c r="Q505" i="166"/>
  <c r="P505" i="166"/>
  <c r="I13" i="166"/>
  <c r="I32" i="166"/>
  <c r="B48" i="166"/>
  <c r="H1053" i="166"/>
  <c r="F1052" i="166" s="1"/>
  <c r="H90" i="166"/>
  <c r="P1053" i="166"/>
  <c r="P90" i="166"/>
  <c r="I94" i="166"/>
  <c r="M90" i="166"/>
  <c r="M91" i="166" s="1"/>
  <c r="N253" i="166"/>
  <c r="I335" i="166"/>
  <c r="O87" i="166"/>
  <c r="O94" i="166" s="1"/>
  <c r="A223" i="165"/>
  <c r="D16" i="166"/>
  <c r="L45" i="166"/>
  <c r="I1053" i="166"/>
  <c r="I90" i="166"/>
  <c r="Q1053" i="166"/>
  <c r="Q90" i="166"/>
  <c r="N90" i="166"/>
  <c r="G92" i="166"/>
  <c r="N127" i="166"/>
  <c r="K215" i="166"/>
  <c r="K217" i="166"/>
  <c r="I227" i="166"/>
  <c r="J251" i="166"/>
  <c r="I251" i="166"/>
  <c r="I269" i="166"/>
  <c r="H269" i="166"/>
  <c r="N305" i="166"/>
  <c r="K361" i="166"/>
  <c r="K379" i="166"/>
  <c r="J359" i="166"/>
  <c r="K359" i="166"/>
  <c r="D17" i="166"/>
  <c r="J1053" i="166"/>
  <c r="J90" i="166"/>
  <c r="K87" i="166"/>
  <c r="K94" i="166" s="1"/>
  <c r="L92" i="166"/>
  <c r="D132" i="166"/>
  <c r="D133" i="166" s="1"/>
  <c r="D131" i="166"/>
  <c r="J978" i="166"/>
  <c r="L179" i="166"/>
  <c r="L215" i="166"/>
  <c r="L217" i="166"/>
  <c r="H287" i="166"/>
  <c r="P287" i="166"/>
  <c r="I343" i="166"/>
  <c r="J377" i="166"/>
  <c r="O503" i="166"/>
  <c r="P503" i="166"/>
  <c r="N703" i="166"/>
  <c r="O703" i="166"/>
  <c r="K323" i="166"/>
  <c r="L341" i="166"/>
  <c r="M379" i="166"/>
  <c r="K415" i="166"/>
  <c r="F453" i="166"/>
  <c r="Q980" i="166"/>
  <c r="M982" i="166"/>
  <c r="F561" i="166"/>
  <c r="I978" i="166"/>
  <c r="M323" i="166"/>
  <c r="L361" i="166"/>
  <c r="O431" i="166"/>
  <c r="I487" i="166"/>
  <c r="I523" i="166"/>
  <c r="O649" i="166"/>
  <c r="P649" i="166"/>
  <c r="G90" i="166"/>
  <c r="O90" i="166"/>
  <c r="N978" i="166"/>
  <c r="K251" i="166"/>
  <c r="I287" i="166"/>
  <c r="O307" i="166"/>
  <c r="M343" i="166"/>
  <c r="N361" i="166"/>
  <c r="O395" i="166"/>
  <c r="L467" i="166"/>
  <c r="M467" i="166"/>
  <c r="J557" i="166"/>
  <c r="I92" i="166"/>
  <c r="Q92" i="166"/>
  <c r="K978" i="166"/>
  <c r="O978" i="166"/>
  <c r="J269" i="166"/>
  <c r="I289" i="166"/>
  <c r="Q289" i="166"/>
  <c r="H305" i="166"/>
  <c r="H307" i="166"/>
  <c r="P307" i="166"/>
  <c r="I980" i="166"/>
  <c r="F309" i="166"/>
  <c r="N325" i="166"/>
  <c r="P325" i="166"/>
  <c r="P359" i="166"/>
  <c r="I395" i="166"/>
  <c r="H395" i="166"/>
  <c r="Q395" i="166"/>
  <c r="P395" i="166"/>
  <c r="J397" i="166"/>
  <c r="J431" i="166"/>
  <c r="I431" i="166"/>
  <c r="J433" i="166"/>
  <c r="O449" i="166"/>
  <c r="N449" i="166"/>
  <c r="K982" i="166"/>
  <c r="F525" i="166"/>
  <c r="K595" i="166"/>
  <c r="J595" i="166"/>
  <c r="J685" i="166"/>
  <c r="K685" i="166"/>
  <c r="M87" i="166"/>
  <c r="M94" i="166" s="1"/>
  <c r="J92" i="166"/>
  <c r="J93" i="166" s="1"/>
  <c r="D167" i="166"/>
  <c r="I233" i="166"/>
  <c r="L235" i="166"/>
  <c r="I253" i="166"/>
  <c r="Q978" i="166"/>
  <c r="F273" i="166"/>
  <c r="L397" i="166"/>
  <c r="K397" i="166"/>
  <c r="I469" i="166"/>
  <c r="H469" i="166"/>
  <c r="M485" i="166"/>
  <c r="L485" i="166"/>
  <c r="J521" i="166"/>
  <c r="N577" i="166"/>
  <c r="K611" i="166"/>
  <c r="L611" i="166"/>
  <c r="N87" i="166"/>
  <c r="N94" i="166" s="1"/>
  <c r="K92" i="166"/>
  <c r="D113" i="166"/>
  <c r="M978" i="166"/>
  <c r="K289" i="166"/>
  <c r="L305" i="166"/>
  <c r="I307" i="166"/>
  <c r="J980" i="166"/>
  <c r="L980" i="166"/>
  <c r="F363" i="166"/>
  <c r="H377" i="166"/>
  <c r="P377" i="166"/>
  <c r="N413" i="166"/>
  <c r="P415" i="166"/>
  <c r="J451" i="166"/>
  <c r="I451" i="166"/>
  <c r="I773" i="166"/>
  <c r="Q773" i="166"/>
  <c r="K980" i="166"/>
  <c r="M449" i="166"/>
  <c r="L521" i="166"/>
  <c r="N613" i="166"/>
  <c r="P982" i="166"/>
  <c r="F615" i="166"/>
  <c r="K631" i="166"/>
  <c r="K667" i="166"/>
  <c r="L757" i="166"/>
  <c r="M775" i="166"/>
  <c r="N775" i="166"/>
  <c r="M593" i="166"/>
  <c r="M793" i="166"/>
  <c r="N793" i="166"/>
  <c r="M980" i="166"/>
  <c r="O980" i="166"/>
  <c r="F417" i="166"/>
  <c r="O467" i="166"/>
  <c r="J982" i="166"/>
  <c r="M523" i="166"/>
  <c r="K539" i="166"/>
  <c r="H541" i="166"/>
  <c r="M559" i="166"/>
  <c r="I575" i="166"/>
  <c r="I577" i="166"/>
  <c r="Q577" i="166"/>
  <c r="M595" i="166"/>
  <c r="H647" i="166"/>
  <c r="P647" i="166"/>
  <c r="I703" i="166"/>
  <c r="Q703" i="166"/>
  <c r="L791" i="166"/>
  <c r="M791" i="166"/>
  <c r="M809" i="166"/>
  <c r="L809" i="166"/>
  <c r="P978" i="166"/>
  <c r="N980" i="166"/>
  <c r="N487" i="166"/>
  <c r="O487" i="166"/>
  <c r="K503" i="166"/>
  <c r="O523" i="166"/>
  <c r="M539" i="166"/>
  <c r="K541" i="166"/>
  <c r="O557" i="166"/>
  <c r="P557" i="166"/>
  <c r="O559" i="166"/>
  <c r="P629" i="166"/>
  <c r="Q631" i="166"/>
  <c r="I647" i="166"/>
  <c r="J647" i="166"/>
  <c r="Q647" i="166"/>
  <c r="N665" i="166"/>
  <c r="Q667" i="166"/>
  <c r="N683" i="166"/>
  <c r="P683" i="166"/>
  <c r="J984" i="166"/>
  <c r="F687" i="166"/>
  <c r="J703" i="166"/>
  <c r="I775" i="166"/>
  <c r="H775" i="166"/>
  <c r="M503" i="166"/>
  <c r="J577" i="166"/>
  <c r="Q982" i="166"/>
  <c r="F633" i="166"/>
  <c r="I881" i="166"/>
  <c r="H881" i="166"/>
  <c r="Q881" i="166"/>
  <c r="P881" i="166"/>
  <c r="H980" i="166"/>
  <c r="I433" i="166"/>
  <c r="Q433" i="166"/>
  <c r="O469" i="166"/>
  <c r="I982" i="166"/>
  <c r="F489" i="166"/>
  <c r="I521" i="166"/>
  <c r="Q521" i="166"/>
  <c r="L541" i="166"/>
  <c r="L577" i="166"/>
  <c r="L613" i="166"/>
  <c r="N719" i="166"/>
  <c r="J737" i="166"/>
  <c r="K737" i="166"/>
  <c r="M984" i="166"/>
  <c r="J773" i="166"/>
  <c r="I986" i="166"/>
  <c r="L982" i="166"/>
  <c r="J611" i="166"/>
  <c r="M631" i="166"/>
  <c r="L737" i="166"/>
  <c r="P755" i="166"/>
  <c r="M757" i="166"/>
  <c r="K773" i="166"/>
  <c r="O984" i="166"/>
  <c r="Q793" i="166"/>
  <c r="O757" i="166"/>
  <c r="P980" i="166"/>
  <c r="N982" i="166"/>
  <c r="O595" i="166"/>
  <c r="P595" i="166"/>
  <c r="L649" i="166"/>
  <c r="H665" i="166"/>
  <c r="P665" i="166"/>
  <c r="I685" i="166"/>
  <c r="Q685" i="166"/>
  <c r="N701" i="166"/>
  <c r="O701" i="166"/>
  <c r="H721" i="166"/>
  <c r="P721" i="166"/>
  <c r="F723" i="166"/>
  <c r="L775" i="166"/>
  <c r="I791" i="166"/>
  <c r="Q791" i="166"/>
  <c r="P984" i="166"/>
  <c r="I829" i="166"/>
  <c r="I845" i="166"/>
  <c r="Q845" i="166"/>
  <c r="O863" i="166"/>
  <c r="L984" i="166"/>
  <c r="H982" i="166"/>
  <c r="K593" i="166"/>
  <c r="O982" i="166"/>
  <c r="J629" i="166"/>
  <c r="L719" i="166"/>
  <c r="I721" i="166"/>
  <c r="N739" i="166"/>
  <c r="K755" i="166"/>
  <c r="N984" i="166"/>
  <c r="J811" i="166"/>
  <c r="L827" i="166"/>
  <c r="K827" i="166"/>
  <c r="L829" i="166"/>
  <c r="J845" i="166"/>
  <c r="N847" i="166"/>
  <c r="M847" i="166"/>
  <c r="P847" i="166"/>
  <c r="J863" i="166"/>
  <c r="I863" i="166"/>
  <c r="Q863" i="166"/>
  <c r="O881" i="166"/>
  <c r="K901" i="166"/>
  <c r="J901" i="166"/>
  <c r="I937" i="166"/>
  <c r="H937" i="166"/>
  <c r="Q937" i="166"/>
  <c r="P937" i="166"/>
  <c r="K953" i="166"/>
  <c r="M953" i="166"/>
  <c r="L953" i="166"/>
  <c r="H984" i="166"/>
  <c r="Q984" i="166"/>
  <c r="M845" i="166"/>
  <c r="K865" i="166"/>
  <c r="L883" i="166"/>
  <c r="K883" i="166"/>
  <c r="O917" i="166"/>
  <c r="N917" i="166"/>
  <c r="H919" i="166"/>
  <c r="P919" i="166"/>
  <c r="N955" i="166"/>
  <c r="I984" i="166"/>
  <c r="O793" i="166"/>
  <c r="H986" i="166"/>
  <c r="L847" i="166"/>
  <c r="M865" i="166"/>
  <c r="L865" i="166"/>
  <c r="J919" i="166"/>
  <c r="I919" i="166"/>
  <c r="Q919" i="166"/>
  <c r="P955" i="166"/>
  <c r="O955" i="166"/>
  <c r="K984" i="166"/>
  <c r="P899" i="166"/>
  <c r="O899" i="166"/>
  <c r="N935" i="166"/>
  <c r="M935" i="166"/>
  <c r="F1047" i="166"/>
  <c r="M986" i="166"/>
  <c r="N986" i="166"/>
  <c r="L901" i="166"/>
  <c r="H917" i="166"/>
  <c r="P917" i="166"/>
  <c r="K919" i="166"/>
  <c r="J91" i="166" l="1"/>
  <c r="I93" i="166"/>
  <c r="O91" i="166"/>
  <c r="L93" i="166"/>
  <c r="N93" i="166"/>
  <c r="Q93" i="166"/>
  <c r="O93" i="166"/>
  <c r="K93" i="166"/>
  <c r="N91" i="166"/>
  <c r="H91" i="166"/>
  <c r="Q91" i="166"/>
  <c r="H13" i="166"/>
  <c r="G12" i="166"/>
  <c r="J13" i="166"/>
  <c r="K12" i="166"/>
  <c r="D157" i="166"/>
  <c r="D152" i="166"/>
  <c r="D156" i="166"/>
  <c r="D158" i="166" s="1"/>
  <c r="O245" i="166"/>
  <c r="P245" i="166" s="1"/>
  <c r="Q245" i="166" s="1"/>
  <c r="J245" i="166"/>
  <c r="K245" i="166" s="1"/>
  <c r="L245" i="166" s="1"/>
  <c r="M245" i="166" s="1"/>
  <c r="N245" i="166" s="1"/>
  <c r="H245" i="166"/>
  <c r="G245" i="166" s="1"/>
  <c r="K155" i="166"/>
  <c r="L155" i="166" s="1"/>
  <c r="M155" i="166" s="1"/>
  <c r="N155" i="166" s="1"/>
  <c r="O155" i="166" s="1"/>
  <c r="P155" i="166" s="1"/>
  <c r="Q155" i="166" s="1"/>
  <c r="J155" i="166"/>
  <c r="H155" i="166"/>
  <c r="G155" i="166" s="1"/>
  <c r="D49" i="166"/>
  <c r="D50" i="166" s="1"/>
  <c r="H209" i="166"/>
  <c r="G209" i="166"/>
  <c r="J209" i="166"/>
  <c r="K209" i="166" s="1"/>
  <c r="L209" i="166" s="1"/>
  <c r="M209" i="166" s="1"/>
  <c r="N209" i="166" s="1"/>
  <c r="O209" i="166" s="1"/>
  <c r="P209" i="166" s="1"/>
  <c r="Q209" i="166" s="1"/>
  <c r="L263" i="166"/>
  <c r="M263" i="166" s="1"/>
  <c r="N263" i="166" s="1"/>
  <c r="O263" i="166" s="1"/>
  <c r="P263" i="166" s="1"/>
  <c r="Q263" i="166" s="1"/>
  <c r="K263" i="166"/>
  <c r="J263" i="166"/>
  <c r="H263" i="166"/>
  <c r="G263" i="166"/>
  <c r="D188" i="166"/>
  <c r="J605" i="166"/>
  <c r="H605" i="166"/>
  <c r="G605" i="166"/>
  <c r="K605" i="166"/>
  <c r="L605" i="166" s="1"/>
  <c r="M605" i="166" s="1"/>
  <c r="N605" i="166" s="1"/>
  <c r="O605" i="166" s="1"/>
  <c r="P605" i="166" s="1"/>
  <c r="Q605" i="166" s="1"/>
  <c r="K407" i="166"/>
  <c r="L407" i="166" s="1"/>
  <c r="M407" i="166" s="1"/>
  <c r="N407" i="166" s="1"/>
  <c r="O407" i="166" s="1"/>
  <c r="P407" i="166" s="1"/>
  <c r="Q407" i="166"/>
  <c r="J407" i="166"/>
  <c r="H407" i="166"/>
  <c r="G407" i="166" s="1"/>
  <c r="J515" i="166"/>
  <c r="K515" i="166" s="1"/>
  <c r="L515" i="166" s="1"/>
  <c r="M515" i="166" s="1"/>
  <c r="N515" i="166" s="1"/>
  <c r="O515" i="166" s="1"/>
  <c r="P515" i="166" s="1"/>
  <c r="Q515" i="166" s="1"/>
  <c r="H515" i="166"/>
  <c r="G515" i="166" s="1"/>
  <c r="K533" i="166"/>
  <c r="L533" i="166" s="1"/>
  <c r="M533" i="166" s="1"/>
  <c r="N533" i="166" s="1"/>
  <c r="O533" i="166" s="1"/>
  <c r="P533" i="166" s="1"/>
  <c r="Q533" i="166" s="1"/>
  <c r="H533" i="166"/>
  <c r="G533" i="166" s="1"/>
  <c r="J533" i="166"/>
  <c r="G623" i="166"/>
  <c r="J623" i="166"/>
  <c r="K623" i="166" s="1"/>
  <c r="L623" i="166" s="1"/>
  <c r="M623" i="166" s="1"/>
  <c r="N623" i="166" s="1"/>
  <c r="O623" i="166" s="1"/>
  <c r="P623" i="166" s="1"/>
  <c r="Q623" i="166" s="1"/>
  <c r="H623" i="166"/>
  <c r="G1040" i="166"/>
  <c r="J1043" i="166"/>
  <c r="N1042" i="166"/>
  <c r="N1039" i="166"/>
  <c r="K1041" i="166"/>
  <c r="H1043" i="166"/>
  <c r="J587" i="166"/>
  <c r="K587" i="166" s="1"/>
  <c r="L587" i="166" s="1"/>
  <c r="M587" i="166" s="1"/>
  <c r="N587" i="166" s="1"/>
  <c r="O587" i="166" s="1"/>
  <c r="P587" i="166" s="1"/>
  <c r="Q587" i="166" s="1"/>
  <c r="H587" i="166"/>
  <c r="G587" i="166"/>
  <c r="J659" i="166"/>
  <c r="K659" i="166" s="1"/>
  <c r="L659" i="166" s="1"/>
  <c r="M659" i="166" s="1"/>
  <c r="N659" i="166" s="1"/>
  <c r="O659" i="166" s="1"/>
  <c r="P659" i="166" s="1"/>
  <c r="Q659" i="166" s="1"/>
  <c r="H659" i="166"/>
  <c r="G659" i="166" s="1"/>
  <c r="H551" i="166"/>
  <c r="G551" i="166" s="1"/>
  <c r="N551" i="166"/>
  <c r="O551" i="166" s="1"/>
  <c r="P551" i="166" s="1"/>
  <c r="Q551" i="166" s="1"/>
  <c r="J551" i="166"/>
  <c r="K551" i="166" s="1"/>
  <c r="L551" i="166" s="1"/>
  <c r="M551" i="166" s="1"/>
  <c r="P803" i="166"/>
  <c r="Q803" i="166" s="1"/>
  <c r="H803" i="166"/>
  <c r="G803" i="166" s="1"/>
  <c r="J803" i="166"/>
  <c r="L803" i="166"/>
  <c r="M803" i="166" s="1"/>
  <c r="N803" i="166" s="1"/>
  <c r="O803" i="166" s="1"/>
  <c r="K803" i="166"/>
  <c r="G767" i="166"/>
  <c r="K767" i="166"/>
  <c r="L767" i="166" s="1"/>
  <c r="M767" i="166" s="1"/>
  <c r="N767" i="166" s="1"/>
  <c r="O767" i="166" s="1"/>
  <c r="P767" i="166" s="1"/>
  <c r="Q767" i="166" s="1"/>
  <c r="J767" i="166"/>
  <c r="H767" i="166"/>
  <c r="P93" i="166"/>
  <c r="O1041" i="166"/>
  <c r="J1039" i="166"/>
  <c r="L1043" i="166"/>
  <c r="L1040" i="166"/>
  <c r="I1042" i="166"/>
  <c r="J32" i="166"/>
  <c r="K32" i="166" s="1"/>
  <c r="L32" i="166" s="1"/>
  <c r="M32" i="166" s="1"/>
  <c r="N32" i="166" s="1"/>
  <c r="O32" i="166" s="1"/>
  <c r="P32" i="166" s="1"/>
  <c r="Q32" i="166" s="1"/>
  <c r="H32" i="166"/>
  <c r="G32" i="166" s="1"/>
  <c r="K91" i="166"/>
  <c r="J191" i="166"/>
  <c r="K191" i="166" s="1"/>
  <c r="L191" i="166" s="1"/>
  <c r="M191" i="166" s="1"/>
  <c r="N191" i="166" s="1"/>
  <c r="O191" i="166" s="1"/>
  <c r="P191" i="166" s="1"/>
  <c r="Q191" i="166" s="1"/>
  <c r="H191" i="166"/>
  <c r="G191" i="166"/>
  <c r="L677" i="166"/>
  <c r="M677" i="166" s="1"/>
  <c r="N677" i="166" s="1"/>
  <c r="O677" i="166" s="1"/>
  <c r="P677" i="166" s="1"/>
  <c r="Q677" i="166" s="1"/>
  <c r="K677" i="166"/>
  <c r="J677" i="166"/>
  <c r="H677" i="166"/>
  <c r="G677" i="166"/>
  <c r="J695" i="166"/>
  <c r="K695" i="166" s="1"/>
  <c r="L695" i="166" s="1"/>
  <c r="M695" i="166" s="1"/>
  <c r="N695" i="166" s="1"/>
  <c r="O695" i="166" s="1"/>
  <c r="H695" i="166"/>
  <c r="G695" i="166"/>
  <c r="P695" i="166"/>
  <c r="Q695" i="166" s="1"/>
  <c r="G893" i="166"/>
  <c r="K893" i="166"/>
  <c r="L893" i="166" s="1"/>
  <c r="M893" i="166" s="1"/>
  <c r="N893" i="166" s="1"/>
  <c r="O893" i="166" s="1"/>
  <c r="P893" i="166" s="1"/>
  <c r="Q893" i="166" s="1"/>
  <c r="J893" i="166"/>
  <c r="H893" i="166"/>
  <c r="J929" i="166"/>
  <c r="K929" i="166" s="1"/>
  <c r="L929" i="166" s="1"/>
  <c r="M929" i="166" s="1"/>
  <c r="N929" i="166" s="1"/>
  <c r="O929" i="166" s="1"/>
  <c r="P929" i="166" s="1"/>
  <c r="Q929" i="166" s="1"/>
  <c r="H929" i="166"/>
  <c r="G929" i="166"/>
  <c r="H1040" i="166"/>
  <c r="I1040" i="166"/>
  <c r="M1041" i="166"/>
  <c r="M1039" i="166"/>
  <c r="J1041" i="166"/>
  <c r="G1043" i="166"/>
  <c r="J479" i="166"/>
  <c r="K479" i="166" s="1"/>
  <c r="L479" i="166" s="1"/>
  <c r="M479" i="166" s="1"/>
  <c r="N479" i="166" s="1"/>
  <c r="O479" i="166" s="1"/>
  <c r="P479" i="166" s="1"/>
  <c r="Q479" i="166" s="1"/>
  <c r="H479" i="166"/>
  <c r="G479" i="166" s="1"/>
  <c r="H785" i="166"/>
  <c r="G785" i="166" s="1"/>
  <c r="J785" i="166"/>
  <c r="K785" i="166" s="1"/>
  <c r="L785" i="166"/>
  <c r="M785" i="166" s="1"/>
  <c r="N785" i="166" s="1"/>
  <c r="O785" i="166" s="1"/>
  <c r="P785" i="166" s="1"/>
  <c r="Q785" i="166" s="1"/>
  <c r="G353" i="166"/>
  <c r="K353" i="166"/>
  <c r="L353" i="166" s="1"/>
  <c r="M353" i="166" s="1"/>
  <c r="N353" i="166" s="1"/>
  <c r="O353" i="166" s="1"/>
  <c r="P353" i="166" s="1"/>
  <c r="Q353" i="166" s="1"/>
  <c r="J353" i="166"/>
  <c r="H353" i="166"/>
  <c r="M93" i="166"/>
  <c r="D168" i="166"/>
  <c r="D169" i="166" s="1"/>
  <c r="G977" i="166"/>
  <c r="D18" i="166"/>
  <c r="D19" i="166"/>
  <c r="B223" i="165"/>
  <c r="A224" i="165"/>
  <c r="D51" i="166"/>
  <c r="D52" i="166" s="1"/>
  <c r="J299" i="166"/>
  <c r="K299" i="166"/>
  <c r="L299" i="166" s="1"/>
  <c r="M299" i="166" s="1"/>
  <c r="N299" i="166" s="1"/>
  <c r="O299" i="166" s="1"/>
  <c r="P299" i="166" s="1"/>
  <c r="Q299" i="166" s="1"/>
  <c r="H299" i="166"/>
  <c r="G299" i="166" s="1"/>
  <c r="G569" i="166"/>
  <c r="K569" i="166"/>
  <c r="L569" i="166" s="1"/>
  <c r="M569" i="166" s="1"/>
  <c r="N569" i="166" s="1"/>
  <c r="O569" i="166" s="1"/>
  <c r="P569" i="166" s="1"/>
  <c r="Q569" i="166" s="1"/>
  <c r="J569" i="166"/>
  <c r="H569" i="166"/>
  <c r="K461" i="166"/>
  <c r="L461" i="166" s="1"/>
  <c r="M461" i="166" s="1"/>
  <c r="N461" i="166" s="1"/>
  <c r="O461" i="166" s="1"/>
  <c r="P461" i="166" s="1"/>
  <c r="Q461" i="166" s="1"/>
  <c r="J461" i="166"/>
  <c r="H461" i="166"/>
  <c r="G461" i="166"/>
  <c r="K911" i="166"/>
  <c r="L911" i="166" s="1"/>
  <c r="M911" i="166" s="1"/>
  <c r="N911" i="166" s="1"/>
  <c r="O911" i="166" s="1"/>
  <c r="J911" i="166"/>
  <c r="G911" i="166"/>
  <c r="P911" i="166"/>
  <c r="Q911" i="166" s="1"/>
  <c r="H911" i="166"/>
  <c r="K947" i="166"/>
  <c r="L947" i="166" s="1"/>
  <c r="M947" i="166" s="1"/>
  <c r="N947" i="166" s="1"/>
  <c r="O947" i="166" s="1"/>
  <c r="P947" i="166" s="1"/>
  <c r="Q947" i="166" s="1"/>
  <c r="J947" i="166"/>
  <c r="H947" i="166"/>
  <c r="G947" i="166" s="1"/>
  <c r="H93" i="166"/>
  <c r="P1040" i="166"/>
  <c r="L1042" i="166"/>
  <c r="K1043" i="166"/>
  <c r="K1040" i="166"/>
  <c r="H1042" i="166"/>
  <c r="H1039" i="166"/>
  <c r="J173" i="166"/>
  <c r="K173" i="166" s="1"/>
  <c r="L173" i="166" s="1"/>
  <c r="M173" i="166" s="1"/>
  <c r="N173" i="166" s="1"/>
  <c r="H173" i="166"/>
  <c r="G173" i="166" s="1"/>
  <c r="O173" i="166"/>
  <c r="P173" i="166" s="1"/>
  <c r="Q173" i="166" s="1"/>
  <c r="G875" i="166"/>
  <c r="N875" i="166"/>
  <c r="O875" i="166" s="1"/>
  <c r="P875" i="166" s="1"/>
  <c r="Q875" i="166" s="1"/>
  <c r="J875" i="166"/>
  <c r="K875" i="166"/>
  <c r="L875" i="166" s="1"/>
  <c r="M875" i="166" s="1"/>
  <c r="H875" i="166"/>
  <c r="H119" i="166"/>
  <c r="G119" i="166" s="1"/>
  <c r="J119" i="166"/>
  <c r="K119" i="166" s="1"/>
  <c r="L119" i="166" s="1"/>
  <c r="M119" i="166" s="1"/>
  <c r="N119" i="166" s="1"/>
  <c r="O119" i="166" s="1"/>
  <c r="P119" i="166" s="1"/>
  <c r="Q119" i="166" s="1"/>
  <c r="H731" i="166"/>
  <c r="G731" i="166" s="1"/>
  <c r="J731" i="166"/>
  <c r="K731" i="166" s="1"/>
  <c r="L731" i="166" s="1"/>
  <c r="M731" i="166" s="1"/>
  <c r="N731" i="166" s="1"/>
  <c r="O731" i="166" s="1"/>
  <c r="P731" i="166" s="1"/>
  <c r="Q731" i="166" s="1"/>
  <c r="D213" i="166"/>
  <c r="D115" i="166"/>
  <c r="D114" i="166"/>
  <c r="D116" i="166" s="1"/>
  <c r="O227" i="166"/>
  <c r="P227" i="166" s="1"/>
  <c r="Q227" i="166" s="1"/>
  <c r="J227" i="166"/>
  <c r="K227" i="166" s="1"/>
  <c r="L227" i="166" s="1"/>
  <c r="M227" i="166" s="1"/>
  <c r="N227" i="166" s="1"/>
  <c r="H227" i="166"/>
  <c r="G227" i="166" s="1"/>
  <c r="B54" i="166"/>
  <c r="D210" i="166"/>
  <c r="J137" i="166"/>
  <c r="K137" i="166" s="1"/>
  <c r="L137" i="166" s="1"/>
  <c r="M137" i="166" s="1"/>
  <c r="N137" i="166" s="1"/>
  <c r="O137" i="166" s="1"/>
  <c r="P137" i="166"/>
  <c r="Q137" i="166" s="1"/>
  <c r="H137" i="166"/>
  <c r="G137" i="166" s="1"/>
  <c r="H317" i="166"/>
  <c r="G317" i="166" s="1"/>
  <c r="J317" i="166"/>
  <c r="K317" i="166" s="1"/>
  <c r="L317" i="166" s="1"/>
  <c r="M317" i="166" s="1"/>
  <c r="N317" i="166" s="1"/>
  <c r="O317" i="166" s="1"/>
  <c r="P317" i="166" s="1"/>
  <c r="Q317" i="166" s="1"/>
  <c r="K497" i="166"/>
  <c r="L497" i="166"/>
  <c r="M497" i="166" s="1"/>
  <c r="N497" i="166" s="1"/>
  <c r="O497" i="166" s="1"/>
  <c r="P497" i="166" s="1"/>
  <c r="Q497" i="166" s="1"/>
  <c r="H497" i="166"/>
  <c r="G497" i="166" s="1"/>
  <c r="J497" i="166"/>
  <c r="J713" i="166"/>
  <c r="K713" i="166"/>
  <c r="L713" i="166" s="1"/>
  <c r="M713" i="166" s="1"/>
  <c r="N713" i="166" s="1"/>
  <c r="O713" i="166" s="1"/>
  <c r="G713" i="166"/>
  <c r="P713" i="166"/>
  <c r="Q713" i="166" s="1"/>
  <c r="H713" i="166"/>
  <c r="G839" i="166"/>
  <c r="J839" i="166"/>
  <c r="K839" i="166" s="1"/>
  <c r="L839" i="166" s="1"/>
  <c r="M839" i="166" s="1"/>
  <c r="N839" i="166" s="1"/>
  <c r="O839" i="166" s="1"/>
  <c r="P839" i="166" s="1"/>
  <c r="Q839" i="166" s="1"/>
  <c r="H839" i="166"/>
  <c r="D211" i="166"/>
  <c r="K1042" i="166"/>
  <c r="O1040" i="166"/>
  <c r="L1039" i="166"/>
  <c r="I1041" i="166"/>
  <c r="P1042" i="166"/>
  <c r="P1039" i="166"/>
  <c r="K281" i="166"/>
  <c r="L281" i="166" s="1"/>
  <c r="M281" i="166" s="1"/>
  <c r="N281" i="166" s="1"/>
  <c r="O281" i="166"/>
  <c r="P281" i="166" s="1"/>
  <c r="Q281" i="166" s="1"/>
  <c r="J281" i="166"/>
  <c r="H281" i="166"/>
  <c r="G281" i="166"/>
  <c r="P371" i="166"/>
  <c r="Q371" i="166" s="1"/>
  <c r="H371" i="166"/>
  <c r="G371" i="166" s="1"/>
  <c r="J371" i="166"/>
  <c r="K371" i="166" s="1"/>
  <c r="L371" i="166" s="1"/>
  <c r="M371" i="166" s="1"/>
  <c r="N371" i="166" s="1"/>
  <c r="O371" i="166" s="1"/>
  <c r="J821" i="166"/>
  <c r="H821" i="166"/>
  <c r="G821" i="166" s="1"/>
  <c r="K821" i="166"/>
  <c r="L821" i="166" s="1"/>
  <c r="M821" i="166" s="1"/>
  <c r="N821" i="166" s="1"/>
  <c r="O821" i="166" s="1"/>
  <c r="P821" i="166" s="1"/>
  <c r="Q821" i="166"/>
  <c r="D134" i="166"/>
  <c r="I91" i="166"/>
  <c r="J335" i="166"/>
  <c r="H335" i="166"/>
  <c r="G335" i="166" s="1"/>
  <c r="K335" i="166"/>
  <c r="L335" i="166" s="1"/>
  <c r="M335" i="166" s="1"/>
  <c r="N335" i="166" s="1"/>
  <c r="O335" i="166" s="1"/>
  <c r="P335" i="166" s="1"/>
  <c r="Q335" i="166" s="1"/>
  <c r="P91" i="166"/>
  <c r="D34" i="166"/>
  <c r="J389" i="166"/>
  <c r="K389" i="166" s="1"/>
  <c r="L389" i="166" s="1"/>
  <c r="M389" i="166" s="1"/>
  <c r="N389" i="166" s="1"/>
  <c r="O389" i="166" s="1"/>
  <c r="P389" i="166" s="1"/>
  <c r="Q389" i="166" s="1"/>
  <c r="H389" i="166"/>
  <c r="G389" i="166" s="1"/>
  <c r="H641" i="166"/>
  <c r="J641" i="166"/>
  <c r="K641" i="166" s="1"/>
  <c r="L641" i="166" s="1"/>
  <c r="M641" i="166" s="1"/>
  <c r="N641" i="166" s="1"/>
  <c r="O641" i="166" s="1"/>
  <c r="P641" i="166" s="1"/>
  <c r="Q641" i="166" s="1"/>
  <c r="G641" i="166"/>
  <c r="J443" i="166"/>
  <c r="K443" i="166" s="1"/>
  <c r="L443" i="166" s="1"/>
  <c r="M443" i="166"/>
  <c r="N443" i="166" s="1"/>
  <c r="O443" i="166" s="1"/>
  <c r="P443" i="166" s="1"/>
  <c r="Q443" i="166" s="1"/>
  <c r="H443" i="166"/>
  <c r="G443" i="166"/>
  <c r="J749" i="166"/>
  <c r="K749" i="166" s="1"/>
  <c r="L749" i="166" s="1"/>
  <c r="M749" i="166" s="1"/>
  <c r="N749" i="166" s="1"/>
  <c r="O749" i="166" s="1"/>
  <c r="P749" i="166" s="1"/>
  <c r="Q749" i="166" s="1"/>
  <c r="H749" i="166"/>
  <c r="G749" i="166"/>
  <c r="H857" i="166"/>
  <c r="G857" i="166" s="1"/>
  <c r="J857" i="166"/>
  <c r="K857" i="166" s="1"/>
  <c r="L857" i="166" s="1"/>
  <c r="M857" i="166" s="1"/>
  <c r="N857" i="166" s="1"/>
  <c r="O857" i="166" s="1"/>
  <c r="P857" i="166" s="1"/>
  <c r="Q857" i="166" s="1"/>
  <c r="D212" i="166"/>
  <c r="I1043" i="166"/>
  <c r="M1042" i="166"/>
  <c r="J1040" i="166"/>
  <c r="G1042" i="166"/>
  <c r="G1039" i="166"/>
  <c r="F1038" i="166" s="1"/>
  <c r="N1040" i="166"/>
  <c r="P817" i="166" l="1"/>
  <c r="Q994" i="166" s="1"/>
  <c r="P818" i="166"/>
  <c r="Q1004" i="166" s="1"/>
  <c r="P476" i="166"/>
  <c r="H1002" i="166" s="1"/>
  <c r="P475" i="166"/>
  <c r="H992" i="166" s="1"/>
  <c r="P925" i="166"/>
  <c r="M996" i="166" s="1"/>
  <c r="P926" i="166"/>
  <c r="M1006" i="166" s="1"/>
  <c r="P692" i="166"/>
  <c r="J1004" i="166" s="1"/>
  <c r="P691" i="166"/>
  <c r="J994" i="166" s="1"/>
  <c r="P187" i="166"/>
  <c r="L988" i="166" s="1"/>
  <c r="P188" i="166"/>
  <c r="L998" i="166" s="1"/>
  <c r="P655" i="166"/>
  <c r="H994" i="166" s="1"/>
  <c r="P656" i="166"/>
  <c r="H1004" i="166" s="1"/>
  <c r="P601" i="166"/>
  <c r="O992" i="166" s="1"/>
  <c r="P602" i="166"/>
  <c r="O1002" i="166" s="1"/>
  <c r="P242" i="166"/>
  <c r="O998" i="166" s="1"/>
  <c r="P241" i="166"/>
  <c r="O988" i="166" s="1"/>
  <c r="P745" i="166"/>
  <c r="M994" i="166" s="1"/>
  <c r="P746" i="166"/>
  <c r="M1004" i="166" s="1"/>
  <c r="P493" i="166"/>
  <c r="I992" i="166" s="1"/>
  <c r="P494" i="166"/>
  <c r="I1002" i="166" s="1"/>
  <c r="P584" i="166"/>
  <c r="N1002" i="166" s="1"/>
  <c r="P583" i="166"/>
  <c r="N992" i="166" s="1"/>
  <c r="P206" i="166"/>
  <c r="M998" i="166" s="1"/>
  <c r="P205" i="166"/>
  <c r="M988" i="166" s="1"/>
  <c r="P368" i="166"/>
  <c r="L1000" i="166" s="1"/>
  <c r="P367" i="166"/>
  <c r="L990" i="166" s="1"/>
  <c r="P836" i="166"/>
  <c r="H1006" i="166" s="1"/>
  <c r="P835" i="166"/>
  <c r="H996" i="166" s="1"/>
  <c r="P728" i="166"/>
  <c r="L1004" i="166" s="1"/>
  <c r="P727" i="166"/>
  <c r="L994" i="166" s="1"/>
  <c r="P871" i="166"/>
  <c r="J996" i="166" s="1"/>
  <c r="P872" i="166"/>
  <c r="J1006" i="166" s="1"/>
  <c r="P908" i="166"/>
  <c r="L1006" i="166" s="1"/>
  <c r="P907" i="166"/>
  <c r="L996" i="166" s="1"/>
  <c r="P673" i="166"/>
  <c r="I994" i="166" s="1"/>
  <c r="P674" i="166"/>
  <c r="I1004" i="166" s="1"/>
  <c r="P799" i="166"/>
  <c r="P994" i="166" s="1"/>
  <c r="P800" i="166"/>
  <c r="P1004" i="166" s="1"/>
  <c r="P404" i="166"/>
  <c r="N1000" i="166" s="1"/>
  <c r="P403" i="166"/>
  <c r="N990" i="166" s="1"/>
  <c r="P385" i="166"/>
  <c r="M990" i="166" s="1"/>
  <c r="P386" i="166"/>
  <c r="M1000" i="166" s="1"/>
  <c r="P349" i="166"/>
  <c r="K990" i="166" s="1"/>
  <c r="P350" i="166"/>
  <c r="K1000" i="166" s="1"/>
  <c r="P277" i="166"/>
  <c r="Q988" i="166" s="1"/>
  <c r="P278" i="166"/>
  <c r="Q998" i="166" s="1"/>
  <c r="P116" i="166"/>
  <c r="H998" i="166" s="1"/>
  <c r="P115" i="166"/>
  <c r="H988" i="166" s="1"/>
  <c r="P566" i="166"/>
  <c r="M1002" i="166" s="1"/>
  <c r="P565" i="166"/>
  <c r="M992" i="166" s="1"/>
  <c r="P619" i="166"/>
  <c r="P992" i="166" s="1"/>
  <c r="P620" i="166"/>
  <c r="P1002" i="166" s="1"/>
  <c r="P943" i="166"/>
  <c r="N996" i="166" s="1"/>
  <c r="P944" i="166"/>
  <c r="N1006" i="166" s="1"/>
  <c r="P457" i="166"/>
  <c r="Q990" i="166" s="1"/>
  <c r="P458" i="166"/>
  <c r="Q1000" i="166" s="1"/>
  <c r="P295" i="166"/>
  <c r="H990" i="166" s="1"/>
  <c r="P296" i="166"/>
  <c r="H1000" i="166" s="1"/>
  <c r="P890" i="166"/>
  <c r="K1006" i="166" s="1"/>
  <c r="P889" i="166"/>
  <c r="K996" i="166" s="1"/>
  <c r="P224" i="166"/>
  <c r="N998" i="166" s="1"/>
  <c r="P223" i="166"/>
  <c r="N988" i="166" s="1"/>
  <c r="P260" i="166"/>
  <c r="P998" i="166" s="1"/>
  <c r="P259" i="166"/>
  <c r="P988" i="166" s="1"/>
  <c r="P439" i="166"/>
  <c r="P990" i="166" s="1"/>
  <c r="P440" i="166"/>
  <c r="P1000" i="166" s="1"/>
  <c r="P169" i="166"/>
  <c r="K988" i="166" s="1"/>
  <c r="P170" i="166"/>
  <c r="K998" i="166" s="1"/>
  <c r="P151" i="166"/>
  <c r="J988" i="166" s="1"/>
  <c r="P152" i="166"/>
  <c r="J998" i="166" s="1"/>
  <c r="P710" i="166"/>
  <c r="K1004" i="166" s="1"/>
  <c r="P709" i="166"/>
  <c r="K994" i="166" s="1"/>
  <c r="P313" i="166"/>
  <c r="I990" i="166" s="1"/>
  <c r="P314" i="166"/>
  <c r="I1000" i="166" s="1"/>
  <c r="P134" i="166"/>
  <c r="I998" i="166" s="1"/>
  <c r="P133" i="166"/>
  <c r="I988" i="166" s="1"/>
  <c r="P782" i="166"/>
  <c r="O1004" i="166" s="1"/>
  <c r="P781" i="166"/>
  <c r="O994" i="166" s="1"/>
  <c r="P763" i="166"/>
  <c r="N994" i="166" s="1"/>
  <c r="P764" i="166"/>
  <c r="N1004" i="166" s="1"/>
  <c r="P548" i="166"/>
  <c r="L1002" i="166" s="1"/>
  <c r="P547" i="166"/>
  <c r="L992" i="166" s="1"/>
  <c r="P529" i="166"/>
  <c r="K992" i="166" s="1"/>
  <c r="P530" i="166"/>
  <c r="K1002" i="166" s="1"/>
  <c r="G13" i="166"/>
  <c r="P854" i="166"/>
  <c r="I1006" i="166" s="1"/>
  <c r="P853" i="166"/>
  <c r="I996" i="166" s="1"/>
  <c r="P638" i="166"/>
  <c r="Q1002" i="166" s="1"/>
  <c r="P637" i="166"/>
  <c r="Q992" i="166" s="1"/>
  <c r="P332" i="166"/>
  <c r="J1000" i="166" s="1"/>
  <c r="P331" i="166"/>
  <c r="J990" i="166" s="1"/>
  <c r="P512" i="166"/>
  <c r="J1002" i="166" s="1"/>
  <c r="P511" i="166"/>
  <c r="J992" i="166" s="1"/>
  <c r="K13" i="166"/>
  <c r="L12" i="166"/>
  <c r="D120" i="166"/>
  <c r="D121" i="166"/>
  <c r="D159" i="166"/>
  <c r="D160" i="166"/>
  <c r="D162" i="166" s="1"/>
  <c r="D170" i="166"/>
  <c r="A225" i="165"/>
  <c r="P28" i="166"/>
  <c r="D122" i="166"/>
  <c r="D123" i="166" s="1"/>
  <c r="D214" i="166"/>
  <c r="D161" i="166"/>
  <c r="D55" i="166"/>
  <c r="B224" i="165"/>
  <c r="D20" i="166"/>
  <c r="D193" i="166"/>
  <c r="G1019" i="166"/>
  <c r="B62" i="166"/>
  <c r="D192" i="166"/>
  <c r="D35" i="166"/>
  <c r="D138" i="166"/>
  <c r="D56" i="166"/>
  <c r="F1045" i="166"/>
  <c r="F1044" i="166"/>
  <c r="D174" i="166"/>
  <c r="D21" i="166"/>
  <c r="G987" i="166" l="1"/>
  <c r="G997" i="166"/>
  <c r="M12" i="166"/>
  <c r="L13" i="166"/>
  <c r="D163" i="166"/>
  <c r="D217" i="166"/>
  <c r="D23" i="166"/>
  <c r="D124" i="166"/>
  <c r="D215" i="166"/>
  <c r="D216" i="166" s="1"/>
  <c r="D36" i="166"/>
  <c r="D57" i="166"/>
  <c r="D175" i="166"/>
  <c r="D22" i="166"/>
  <c r="D24" i="166" s="1"/>
  <c r="B78" i="166"/>
  <c r="D125" i="166"/>
  <c r="D126" i="166" s="1"/>
  <c r="D127" i="166" s="1"/>
  <c r="D141" i="166"/>
  <c r="D139" i="166"/>
  <c r="D140" i="166" s="1"/>
  <c r="A226" i="165"/>
  <c r="D194" i="166"/>
  <c r="D65" i="166"/>
  <c r="B225" i="165"/>
  <c r="G1007" i="166" l="1"/>
  <c r="N12" i="166"/>
  <c r="M13" i="166"/>
  <c r="D196" i="166"/>
  <c r="B97" i="166"/>
  <c r="B226" i="165"/>
  <c r="D25" i="166"/>
  <c r="A228" i="165"/>
  <c r="B228" i="165" s="1"/>
  <c r="D98" i="166"/>
  <c r="D100" i="166" s="1"/>
  <c r="A227" i="165"/>
  <c r="D177" i="166"/>
  <c r="D176" i="166"/>
  <c r="D81" i="166"/>
  <c r="D66" i="166"/>
  <c r="D82" i="166"/>
  <c r="D195" i="166"/>
  <c r="D58" i="166"/>
  <c r="D59" i="166" s="1"/>
  <c r="D60" i="166" s="1"/>
  <c r="D142" i="166"/>
  <c r="D37" i="166"/>
  <c r="D38" i="166" s="1"/>
  <c r="D39" i="166" s="1"/>
  <c r="O12" i="166" l="1"/>
  <c r="N13" i="166"/>
  <c r="D67" i="166"/>
  <c r="D68" i="166" s="1"/>
  <c r="A229" i="165"/>
  <c r="D197" i="166"/>
  <c r="D198" i="166" s="1"/>
  <c r="D199" i="166" s="1"/>
  <c r="D143" i="166"/>
  <c r="D144" i="166" s="1"/>
  <c r="D145" i="166"/>
  <c r="D40" i="166"/>
  <c r="D83" i="166"/>
  <c r="A230" i="165"/>
  <c r="B230" i="165" s="1"/>
  <c r="D178" i="166"/>
  <c r="B227" i="165"/>
  <c r="A231" i="165"/>
  <c r="B231" i="165" s="1"/>
  <c r="O13" i="166" l="1"/>
  <c r="P12" i="166"/>
  <c r="D69" i="166"/>
  <c r="D70" i="166"/>
  <c r="D71" i="166" s="1"/>
  <c r="D72" i="166" s="1"/>
  <c r="D73" i="166" s="1"/>
  <c r="D74" i="166" s="1"/>
  <c r="D84" i="166"/>
  <c r="D85" i="166" s="1"/>
  <c r="D86" i="166" s="1"/>
  <c r="D87" i="166" s="1"/>
  <c r="D88" i="166" s="1"/>
  <c r="D89" i="166" s="1"/>
  <c r="D90" i="166"/>
  <c r="D41" i="166"/>
  <c r="D42" i="166" s="1"/>
  <c r="D43" i="166" s="1"/>
  <c r="D44" i="166" s="1"/>
  <c r="D45" i="166" s="1"/>
  <c r="D46" i="166" s="1"/>
  <c r="B229" i="165"/>
  <c r="A233" i="165"/>
  <c r="A232" i="165"/>
  <c r="D179" i="166"/>
  <c r="D180" i="166" s="1"/>
  <c r="D181" i="166" s="1"/>
  <c r="P13" i="166" l="1"/>
  <c r="Q12" i="166"/>
  <c r="B232" i="165"/>
  <c r="B233" i="165"/>
  <c r="A234" i="165"/>
  <c r="D91" i="166"/>
  <c r="D92" i="166" s="1"/>
  <c r="D93" i="166" s="1"/>
  <c r="D94" i="166" s="1"/>
  <c r="D95" i="166" s="1"/>
  <c r="F1036" i="166"/>
  <c r="F1037" i="166"/>
  <c r="Q13" i="166" l="1"/>
  <c r="F1035" i="166"/>
  <c r="B234" i="165"/>
  <c r="A235" i="165"/>
  <c r="B235" i="165" s="1"/>
  <c r="A236" i="165" l="1"/>
  <c r="B236" i="165" l="1"/>
  <c r="A237" i="165"/>
  <c r="B237" i="165" l="1"/>
  <c r="A238" i="165"/>
  <c r="B238" i="165" l="1"/>
  <c r="A239" i="165"/>
  <c r="B239" i="165" l="1"/>
  <c r="A240" i="165"/>
  <c r="B240" i="165" l="1"/>
  <c r="A241" i="165"/>
  <c r="B241" i="165" l="1"/>
  <c r="A242" i="165"/>
  <c r="B242" i="165" l="1"/>
  <c r="A243" i="165"/>
  <c r="B243" i="165" l="1"/>
  <c r="A244" i="165"/>
  <c r="B244" i="165" l="1"/>
  <c r="A245" i="165"/>
  <c r="B245" i="165" l="1"/>
  <c r="A246" i="165"/>
  <c r="B246" i="165" l="1"/>
  <c r="A247" i="165"/>
  <c r="B247" i="165" l="1"/>
  <c r="A248" i="165"/>
  <c r="B248" i="165" l="1"/>
  <c r="A250" i="165"/>
  <c r="B250" i="165" l="1"/>
  <c r="A251" i="165"/>
  <c r="B251" i="165" l="1"/>
  <c r="A252" i="165"/>
  <c r="B252" i="165" l="1"/>
  <c r="A253" i="165"/>
  <c r="B253" i="165" l="1"/>
  <c r="A254" i="165"/>
  <c r="B254" i="165" l="1"/>
  <c r="A255" i="165"/>
  <c r="B255" i="165" l="1"/>
  <c r="A256" i="165"/>
  <c r="B256" i="165" l="1"/>
  <c r="A257" i="165"/>
  <c r="B257" i="165" l="1"/>
  <c r="A258" i="165"/>
  <c r="B258" i="165" l="1"/>
  <c r="A259" i="165"/>
  <c r="B259" i="165" l="1"/>
  <c r="A260" i="165"/>
  <c r="B260" i="165" l="1"/>
  <c r="A261" i="165"/>
  <c r="B261" i="165" l="1"/>
  <c r="A262" i="165"/>
  <c r="B262" i="165" l="1"/>
  <c r="A263" i="165"/>
  <c r="B263" i="165" l="1"/>
  <c r="A264" i="165"/>
  <c r="B264" i="165" l="1"/>
  <c r="A265" i="165"/>
  <c r="B265" i="165" l="1"/>
  <c r="A266" i="165"/>
  <c r="B266" i="165" l="1"/>
  <c r="A267" i="165"/>
  <c r="B267" i="165" l="1"/>
  <c r="A268" i="165"/>
  <c r="B268" i="165" l="1"/>
  <c r="A269" i="165"/>
  <c r="B269" i="165" l="1"/>
  <c r="A270" i="165"/>
  <c r="B270" i="165" l="1"/>
  <c r="A271" i="165"/>
  <c r="B271" i="165" l="1"/>
  <c r="A272" i="165"/>
  <c r="B272" i="165" l="1"/>
  <c r="A273" i="165"/>
  <c r="B273" i="165" l="1"/>
  <c r="A274" i="165"/>
  <c r="B274" i="165" l="1"/>
  <c r="A275" i="165"/>
  <c r="B275" i="165" l="1"/>
  <c r="A276" i="165"/>
  <c r="B276" i="165" l="1"/>
  <c r="A278" i="165"/>
  <c r="B278" i="165" l="1"/>
  <c r="A279" i="165"/>
  <c r="B279" i="165" l="1"/>
  <c r="A280" i="165"/>
  <c r="B280" i="165" l="1"/>
  <c r="A281" i="165"/>
  <c r="B281" i="165" l="1"/>
  <c r="A282" i="165"/>
  <c r="B282" i="165" l="1"/>
  <c r="A283" i="165"/>
  <c r="B283" i="165" l="1"/>
  <c r="A284" i="165"/>
  <c r="B284" i="165" l="1"/>
  <c r="A285" i="165"/>
  <c r="B285" i="165" l="1"/>
  <c r="A286" i="165"/>
  <c r="B286" i="165" l="1"/>
  <c r="A287" i="165"/>
  <c r="B287" i="165" l="1"/>
  <c r="A288" i="165"/>
  <c r="A289" i="165" s="1"/>
  <c r="D91" i="164" l="1"/>
  <c r="D89" i="164"/>
  <c r="J67" i="164"/>
  <c r="J66" i="164"/>
  <c r="I66" i="164"/>
  <c r="J65" i="164"/>
  <c r="H65" i="164"/>
  <c r="F65" i="164"/>
  <c r="J64" i="164"/>
  <c r="H64" i="164"/>
  <c r="H67" i="164" s="1"/>
  <c r="J63" i="164"/>
  <c r="J62" i="164"/>
  <c r="I62" i="164"/>
  <c r="H62" i="164"/>
  <c r="G62" i="164"/>
  <c r="F62" i="164"/>
  <c r="J61" i="164"/>
  <c r="I61" i="164"/>
  <c r="I63" i="164" s="1"/>
  <c r="H61" i="164"/>
  <c r="H63" i="164" s="1"/>
  <c r="G61" i="164"/>
  <c r="G63" i="164" s="1"/>
  <c r="F61" i="164"/>
  <c r="J60" i="164"/>
  <c r="I60" i="164"/>
  <c r="H60" i="164"/>
  <c r="G60" i="164"/>
  <c r="F60" i="164"/>
  <c r="F63" i="164" s="1"/>
  <c r="J59" i="164"/>
  <c r="I59" i="164"/>
  <c r="J58" i="164"/>
  <c r="I58" i="164"/>
  <c r="H58" i="164"/>
  <c r="G58" i="164"/>
  <c r="G59" i="164" s="1"/>
  <c r="F58" i="164"/>
  <c r="F59" i="164" s="1"/>
  <c r="J57" i="164"/>
  <c r="I57" i="164"/>
  <c r="H57" i="164"/>
  <c r="G57" i="164"/>
  <c r="F57" i="164"/>
  <c r="J56" i="164"/>
  <c r="I56" i="164"/>
  <c r="H56" i="164"/>
  <c r="H59" i="164" s="1"/>
  <c r="G56" i="164"/>
  <c r="F56" i="164"/>
  <c r="J55" i="164"/>
  <c r="J54" i="164"/>
  <c r="I54" i="164"/>
  <c r="H54" i="164"/>
  <c r="G54" i="164"/>
  <c r="F54" i="164"/>
  <c r="J53" i="164"/>
  <c r="I53" i="164"/>
  <c r="I55" i="164" s="1"/>
  <c r="H53" i="164"/>
  <c r="H55" i="164" s="1"/>
  <c r="G53" i="164"/>
  <c r="G55" i="164" s="1"/>
  <c r="F53" i="164"/>
  <c r="J52" i="164"/>
  <c r="I52" i="164"/>
  <c r="H52" i="164"/>
  <c r="G52" i="164"/>
  <c r="F52" i="164"/>
  <c r="F55" i="164" s="1"/>
  <c r="J51" i="164"/>
  <c r="I51" i="164"/>
  <c r="J50" i="164"/>
  <c r="I50" i="164"/>
  <c r="H50" i="164"/>
  <c r="H66" i="164" s="1"/>
  <c r="G50" i="164"/>
  <c r="G51" i="164" s="1"/>
  <c r="F50" i="164"/>
  <c r="F51" i="164" s="1"/>
  <c r="J49" i="164"/>
  <c r="I49" i="164"/>
  <c r="H49" i="164"/>
  <c r="G49" i="164"/>
  <c r="F49" i="164"/>
  <c r="J48" i="164"/>
  <c r="I48" i="164"/>
  <c r="I64" i="164" s="1"/>
  <c r="H48" i="164"/>
  <c r="G48" i="164"/>
  <c r="F48" i="164"/>
  <c r="J47" i="164"/>
  <c r="J46" i="164"/>
  <c r="I46" i="164"/>
  <c r="H46" i="164"/>
  <c r="G46" i="164"/>
  <c r="F46" i="164"/>
  <c r="J45" i="164"/>
  <c r="I45" i="164"/>
  <c r="H45" i="164"/>
  <c r="H47" i="164" s="1"/>
  <c r="G45" i="164"/>
  <c r="F45" i="164"/>
  <c r="J44" i="164"/>
  <c r="I44" i="164"/>
  <c r="H44" i="164"/>
  <c r="G44" i="164"/>
  <c r="G64" i="164" s="1"/>
  <c r="F44" i="164"/>
  <c r="BJ38" i="164"/>
  <c r="BI38" i="164"/>
  <c r="BH38" i="164"/>
  <c r="BE38" i="164"/>
  <c r="BD38" i="164"/>
  <c r="AY38" i="164"/>
  <c r="AX38" i="164"/>
  <c r="AW38" i="164"/>
  <c r="AV38" i="164"/>
  <c r="AS38" i="164"/>
  <c r="AR38" i="164"/>
  <c r="AM38" i="164"/>
  <c r="AL38" i="164"/>
  <c r="AK38" i="164"/>
  <c r="AJ38" i="164"/>
  <c r="AG38" i="164"/>
  <c r="AF38" i="164"/>
  <c r="Z38" i="164"/>
  <c r="Y38" i="164"/>
  <c r="X38" i="164"/>
  <c r="U38" i="164"/>
  <c r="T38" i="164"/>
  <c r="N38" i="164"/>
  <c r="M38" i="164"/>
  <c r="L38" i="164"/>
  <c r="I38" i="164"/>
  <c r="H38" i="164"/>
  <c r="BK37" i="164"/>
  <c r="BJ37" i="164"/>
  <c r="BI37" i="164"/>
  <c r="BH37" i="164"/>
  <c r="BE37" i="164"/>
  <c r="BD37" i="164"/>
  <c r="BC37" i="164"/>
  <c r="BB37" i="164"/>
  <c r="AY37" i="164"/>
  <c r="AX37" i="164"/>
  <c r="AW37" i="164"/>
  <c r="AV37" i="164"/>
  <c r="AS37" i="164"/>
  <c r="AR37" i="164"/>
  <c r="AQ37" i="164"/>
  <c r="AP37" i="164"/>
  <c r="AM37" i="164"/>
  <c r="AL37" i="164"/>
  <c r="AK37" i="164"/>
  <c r="AJ37" i="164"/>
  <c r="AG37" i="164"/>
  <c r="AF37" i="164"/>
  <c r="AE37" i="164"/>
  <c r="AD37" i="164"/>
  <c r="AA37" i="164"/>
  <c r="Z37" i="164"/>
  <c r="Y37" i="164"/>
  <c r="X37" i="164"/>
  <c r="U37" i="164"/>
  <c r="T37" i="164"/>
  <c r="S37" i="164"/>
  <c r="R37" i="164"/>
  <c r="O37" i="164"/>
  <c r="N37" i="164"/>
  <c r="M37" i="164"/>
  <c r="L37" i="164"/>
  <c r="I37" i="164"/>
  <c r="H37" i="164"/>
  <c r="G37" i="164"/>
  <c r="F37" i="164"/>
  <c r="BK36" i="164"/>
  <c r="BJ36" i="164"/>
  <c r="BI36" i="164"/>
  <c r="BH36" i="164"/>
  <c r="BE36" i="164"/>
  <c r="BD36" i="164"/>
  <c r="BC36" i="164"/>
  <c r="BB36" i="164"/>
  <c r="AY36" i="164"/>
  <c r="AX36" i="164"/>
  <c r="AW36" i="164"/>
  <c r="AV36" i="164"/>
  <c r="AS36" i="164"/>
  <c r="AR36" i="164"/>
  <c r="AQ36" i="164"/>
  <c r="AP36" i="164"/>
  <c r="AM36" i="164"/>
  <c r="AL36" i="164"/>
  <c r="AK36" i="164"/>
  <c r="AJ36" i="164"/>
  <c r="AG36" i="164"/>
  <c r="AF36" i="164"/>
  <c r="AE36" i="164"/>
  <c r="AD36" i="164"/>
  <c r="AA36" i="164"/>
  <c r="Z36" i="164"/>
  <c r="Y36" i="164"/>
  <c r="X36" i="164"/>
  <c r="U36" i="164"/>
  <c r="T36" i="164"/>
  <c r="S36" i="164"/>
  <c r="R36" i="164"/>
  <c r="O36" i="164"/>
  <c r="N36" i="164"/>
  <c r="M36" i="164"/>
  <c r="L36" i="164"/>
  <c r="I36" i="164"/>
  <c r="H36" i="164"/>
  <c r="G36" i="164"/>
  <c r="F36" i="164"/>
  <c r="BK35" i="164"/>
  <c r="BK38" i="164" s="1"/>
  <c r="BJ35" i="164"/>
  <c r="BI35" i="164"/>
  <c r="BH35" i="164"/>
  <c r="BE35" i="164"/>
  <c r="BD35" i="164"/>
  <c r="BC35" i="164"/>
  <c r="BC38" i="164" s="1"/>
  <c r="BB35" i="164"/>
  <c r="BB38" i="164" s="1"/>
  <c r="AY35" i="164"/>
  <c r="AX35" i="164"/>
  <c r="AW35" i="164"/>
  <c r="AV35" i="164"/>
  <c r="AS35" i="164"/>
  <c r="AR35" i="164"/>
  <c r="AQ35" i="164"/>
  <c r="AQ38" i="164" s="1"/>
  <c r="AP35" i="164"/>
  <c r="AP38" i="164" s="1"/>
  <c r="AM35" i="164"/>
  <c r="AL35" i="164"/>
  <c r="AK35" i="164"/>
  <c r="AJ35" i="164"/>
  <c r="AG35" i="164"/>
  <c r="AF35" i="164"/>
  <c r="AE35" i="164"/>
  <c r="AE38" i="164" s="1"/>
  <c r="AD35" i="164"/>
  <c r="AD38" i="164" s="1"/>
  <c r="AA35" i="164"/>
  <c r="AA38" i="164" s="1"/>
  <c r="Z35" i="164"/>
  <c r="Y35" i="164"/>
  <c r="X35" i="164"/>
  <c r="U35" i="164"/>
  <c r="T35" i="164"/>
  <c r="S35" i="164"/>
  <c r="S38" i="164" s="1"/>
  <c r="R35" i="164"/>
  <c r="R38" i="164" s="1"/>
  <c r="O35" i="164"/>
  <c r="O38" i="164" s="1"/>
  <c r="N35" i="164"/>
  <c r="M35" i="164"/>
  <c r="L35" i="164"/>
  <c r="I35" i="164"/>
  <c r="H35" i="164"/>
  <c r="G35" i="164"/>
  <c r="G38" i="164" s="1"/>
  <c r="F35" i="164"/>
  <c r="F38" i="164" s="1"/>
  <c r="BK34" i="164"/>
  <c r="BJ34" i="164"/>
  <c r="BI34" i="164"/>
  <c r="BH34" i="164"/>
  <c r="BE34" i="164"/>
  <c r="BD34" i="164"/>
  <c r="BC34" i="164"/>
  <c r="BB34" i="164"/>
  <c r="AY34" i="164"/>
  <c r="AX34" i="164"/>
  <c r="AW34" i="164"/>
  <c r="AV34" i="164"/>
  <c r="AS34" i="164"/>
  <c r="AR34" i="164"/>
  <c r="AQ34" i="164"/>
  <c r="AP34" i="164"/>
  <c r="AM34" i="164"/>
  <c r="AL34" i="164"/>
  <c r="AK34" i="164"/>
  <c r="AJ34" i="164"/>
  <c r="AG34" i="164"/>
  <c r="AF34" i="164"/>
  <c r="AE34" i="164"/>
  <c r="AD34" i="164"/>
  <c r="AA34" i="164"/>
  <c r="Z34" i="164"/>
  <c r="Y34" i="164"/>
  <c r="X34" i="164"/>
  <c r="U34" i="164"/>
  <c r="T34" i="164"/>
  <c r="S34" i="164"/>
  <c r="R34" i="164"/>
  <c r="O34" i="164"/>
  <c r="N34" i="164"/>
  <c r="M34" i="164"/>
  <c r="L34" i="164"/>
  <c r="I34" i="164"/>
  <c r="H34" i="164"/>
  <c r="G34" i="164"/>
  <c r="F34" i="164"/>
  <c r="BM33" i="164"/>
  <c r="BG33" i="164"/>
  <c r="BA33" i="164"/>
  <c r="AU33" i="164"/>
  <c r="AO33" i="164"/>
  <c r="AI33" i="164"/>
  <c r="AC33" i="164"/>
  <c r="W33" i="164"/>
  <c r="Q33" i="164"/>
  <c r="K33" i="164"/>
  <c r="BM32" i="164"/>
  <c r="BG32" i="164"/>
  <c r="BA32" i="164"/>
  <c r="AU32" i="164"/>
  <c r="AO32" i="164"/>
  <c r="AI32" i="164"/>
  <c r="AC32" i="164"/>
  <c r="W32" i="164"/>
  <c r="Q32" i="164"/>
  <c r="K32" i="164"/>
  <c r="BM31" i="164"/>
  <c r="BG31" i="164"/>
  <c r="BA31" i="164"/>
  <c r="AU31" i="164"/>
  <c r="AO31" i="164"/>
  <c r="AI31" i="164"/>
  <c r="AC31" i="164"/>
  <c r="W31" i="164"/>
  <c r="Q31" i="164"/>
  <c r="K31" i="164"/>
  <c r="BK30" i="164"/>
  <c r="BJ30" i="164"/>
  <c r="BI30" i="164"/>
  <c r="BH30" i="164"/>
  <c r="BE30" i="164"/>
  <c r="BD30" i="164"/>
  <c r="BC30" i="164"/>
  <c r="BB30" i="164"/>
  <c r="AY30" i="164"/>
  <c r="AX30" i="164"/>
  <c r="AW30" i="164"/>
  <c r="AV30" i="164"/>
  <c r="AS30" i="164"/>
  <c r="AR30" i="164"/>
  <c r="AQ30" i="164"/>
  <c r="AP30" i="164"/>
  <c r="AM30" i="164"/>
  <c r="AL30" i="164"/>
  <c r="AK30" i="164"/>
  <c r="AJ30" i="164"/>
  <c r="AG30" i="164"/>
  <c r="AF30" i="164"/>
  <c r="AE30" i="164"/>
  <c r="AD30" i="164"/>
  <c r="AA30" i="164"/>
  <c r="Z30" i="164"/>
  <c r="Y30" i="164"/>
  <c r="X30" i="164"/>
  <c r="U30" i="164"/>
  <c r="T30" i="164"/>
  <c r="S30" i="164"/>
  <c r="R30" i="164"/>
  <c r="O30" i="164"/>
  <c r="N30" i="164"/>
  <c r="M30" i="164"/>
  <c r="L30" i="164"/>
  <c r="I30" i="164"/>
  <c r="H30" i="164"/>
  <c r="G30" i="164"/>
  <c r="F30" i="164"/>
  <c r="BM29" i="164"/>
  <c r="BG29" i="164"/>
  <c r="BA29" i="164"/>
  <c r="AU29" i="164"/>
  <c r="AO29" i="164"/>
  <c r="AI29" i="164"/>
  <c r="AC29" i="164"/>
  <c r="W29" i="164"/>
  <c r="Q29" i="164"/>
  <c r="K29" i="164"/>
  <c r="BM28" i="164"/>
  <c r="BG28" i="164"/>
  <c r="BA28" i="164"/>
  <c r="AU28" i="164"/>
  <c r="AO28" i="164"/>
  <c r="AI28" i="164"/>
  <c r="AC28" i="164"/>
  <c r="W28" i="164"/>
  <c r="Q28" i="164"/>
  <c r="K28" i="164"/>
  <c r="BM27" i="164"/>
  <c r="BG27" i="164"/>
  <c r="BA27" i="164"/>
  <c r="AU27" i="164"/>
  <c r="AO27" i="164"/>
  <c r="AI27" i="164"/>
  <c r="AC27" i="164"/>
  <c r="W27" i="164"/>
  <c r="Q27" i="164"/>
  <c r="K27" i="164"/>
  <c r="BK26" i="164"/>
  <c r="BJ26" i="164"/>
  <c r="BI26" i="164"/>
  <c r="D82" i="164" s="1"/>
  <c r="BH26" i="164"/>
  <c r="BE26" i="164"/>
  <c r="BD26" i="164"/>
  <c r="BC26" i="164"/>
  <c r="BB26" i="164"/>
  <c r="AY26" i="164"/>
  <c r="AX26" i="164"/>
  <c r="AW26" i="164"/>
  <c r="D80" i="164" s="1"/>
  <c r="AV26" i="164"/>
  <c r="AS26" i="164"/>
  <c r="AR26" i="164"/>
  <c r="AQ26" i="164"/>
  <c r="AP26" i="164"/>
  <c r="AM26" i="164"/>
  <c r="AL26" i="164"/>
  <c r="AK26" i="164"/>
  <c r="D78" i="164" s="1"/>
  <c r="AJ26" i="164"/>
  <c r="AG26" i="164"/>
  <c r="AF26" i="164"/>
  <c r="AE26" i="164"/>
  <c r="AD26" i="164"/>
  <c r="AA26" i="164"/>
  <c r="Z26" i="164"/>
  <c r="Y26" i="164"/>
  <c r="D76" i="164" s="1"/>
  <c r="X26" i="164"/>
  <c r="U26" i="164"/>
  <c r="T26" i="164"/>
  <c r="S26" i="164"/>
  <c r="R26" i="164"/>
  <c r="O26" i="164"/>
  <c r="N26" i="164"/>
  <c r="M26" i="164"/>
  <c r="D74" i="164" s="1"/>
  <c r="L26" i="164"/>
  <c r="I26" i="164"/>
  <c r="H26" i="164"/>
  <c r="G26" i="164"/>
  <c r="F26" i="164"/>
  <c r="BM25" i="164"/>
  <c r="BG25" i="164"/>
  <c r="BA25" i="164"/>
  <c r="AU25" i="164"/>
  <c r="AO25" i="164"/>
  <c r="AI25" i="164"/>
  <c r="AC25" i="164"/>
  <c r="W25" i="164"/>
  <c r="Q25" i="164"/>
  <c r="K25" i="164"/>
  <c r="BM24" i="164"/>
  <c r="BG24" i="164"/>
  <c r="BA24" i="164"/>
  <c r="AU24" i="164"/>
  <c r="AO24" i="164"/>
  <c r="AI24" i="164"/>
  <c r="AC24" i="164"/>
  <c r="W24" i="164"/>
  <c r="Q24" i="164"/>
  <c r="K24" i="164"/>
  <c r="BM23" i="164"/>
  <c r="BG23" i="164"/>
  <c r="BA23" i="164"/>
  <c r="AU23" i="164"/>
  <c r="AO23" i="164"/>
  <c r="AI23" i="164"/>
  <c r="AC23" i="164"/>
  <c r="W23" i="164"/>
  <c r="Q23" i="164"/>
  <c r="K23" i="164"/>
  <c r="BK22" i="164"/>
  <c r="BJ22" i="164"/>
  <c r="BI22" i="164"/>
  <c r="BH22" i="164"/>
  <c r="BE22" i="164"/>
  <c r="BD22" i="164"/>
  <c r="BC22" i="164"/>
  <c r="BB22" i="164"/>
  <c r="AY22" i="164"/>
  <c r="AX22" i="164"/>
  <c r="AW22" i="164"/>
  <c r="AV22" i="164"/>
  <c r="AS22" i="164"/>
  <c r="AR22" i="164"/>
  <c r="AQ22" i="164"/>
  <c r="AP22" i="164"/>
  <c r="AM22" i="164"/>
  <c r="AL22" i="164"/>
  <c r="AK22" i="164"/>
  <c r="AJ22" i="164"/>
  <c r="AG22" i="164"/>
  <c r="AF22" i="164"/>
  <c r="AE22" i="164"/>
  <c r="AD22" i="164"/>
  <c r="AA22" i="164"/>
  <c r="Z22" i="164"/>
  <c r="Y22" i="164"/>
  <c r="X22" i="164"/>
  <c r="U22" i="164"/>
  <c r="T22" i="164"/>
  <c r="S22" i="164"/>
  <c r="R22" i="164"/>
  <c r="O22" i="164"/>
  <c r="N22" i="164"/>
  <c r="M22" i="164"/>
  <c r="L22" i="164"/>
  <c r="I22" i="164"/>
  <c r="H22" i="164"/>
  <c r="G22" i="164"/>
  <c r="F22" i="164"/>
  <c r="BM21" i="164"/>
  <c r="BG21" i="164"/>
  <c r="BA21" i="164"/>
  <c r="AU21" i="164"/>
  <c r="AO21" i="164"/>
  <c r="AI21" i="164"/>
  <c r="AC21" i="164"/>
  <c r="W21" i="164"/>
  <c r="Q21" i="164"/>
  <c r="K21" i="164"/>
  <c r="BM20" i="164"/>
  <c r="BG20" i="164"/>
  <c r="BA20" i="164"/>
  <c r="AU20" i="164"/>
  <c r="AO20" i="164"/>
  <c r="AI20" i="164"/>
  <c r="AC20" i="164"/>
  <c r="W20" i="164"/>
  <c r="Q20" i="164"/>
  <c r="K20" i="164"/>
  <c r="BM19" i="164"/>
  <c r="BG19" i="164"/>
  <c r="D95" i="164" s="1"/>
  <c r="BA19" i="164"/>
  <c r="AU19" i="164"/>
  <c r="AO19" i="164"/>
  <c r="AI19" i="164"/>
  <c r="AC19" i="164"/>
  <c r="W19" i="164"/>
  <c r="Q19" i="164"/>
  <c r="K19" i="164"/>
  <c r="BK18" i="164"/>
  <c r="BJ18" i="164"/>
  <c r="BI18" i="164"/>
  <c r="BH18" i="164"/>
  <c r="BE18" i="164"/>
  <c r="BD18" i="164"/>
  <c r="BC18" i="164"/>
  <c r="D81" i="164" s="1"/>
  <c r="BB18" i="164"/>
  <c r="AY18" i="164"/>
  <c r="AX18" i="164"/>
  <c r="AW18" i="164"/>
  <c r="AV18" i="164"/>
  <c r="AS18" i="164"/>
  <c r="AR18" i="164"/>
  <c r="AQ18" i="164"/>
  <c r="D79" i="164" s="1"/>
  <c r="AP18" i="164"/>
  <c r="AM18" i="164"/>
  <c r="AL18" i="164"/>
  <c r="AK18" i="164"/>
  <c r="AJ18" i="164"/>
  <c r="AG18" i="164"/>
  <c r="AF18" i="164"/>
  <c r="AE18" i="164"/>
  <c r="D77" i="164" s="1"/>
  <c r="AD18" i="164"/>
  <c r="AA18" i="164"/>
  <c r="Z18" i="164"/>
  <c r="Y18" i="164"/>
  <c r="X18" i="164"/>
  <c r="U18" i="164"/>
  <c r="T18" i="164"/>
  <c r="S18" i="164"/>
  <c r="D75" i="164" s="1"/>
  <c r="R18" i="164"/>
  <c r="O18" i="164"/>
  <c r="N18" i="164"/>
  <c r="M18" i="164"/>
  <c r="L18" i="164"/>
  <c r="I18" i="164"/>
  <c r="H18" i="164"/>
  <c r="G18" i="164"/>
  <c r="D73" i="164" s="1"/>
  <c r="D83" i="164" s="1"/>
  <c r="G976" i="166" s="1"/>
  <c r="F18" i="164"/>
  <c r="BM17" i="164"/>
  <c r="BG17" i="164"/>
  <c r="BA17" i="164"/>
  <c r="AU17" i="164"/>
  <c r="AO17" i="164"/>
  <c r="AI17" i="164"/>
  <c r="AC17" i="164"/>
  <c r="W17" i="164"/>
  <c r="Q17" i="164"/>
  <c r="K17" i="164"/>
  <c r="BM16" i="164"/>
  <c r="BG16" i="164"/>
  <c r="BA16" i="164"/>
  <c r="AU16" i="164"/>
  <c r="AO16" i="164"/>
  <c r="AI16" i="164"/>
  <c r="AC16" i="164"/>
  <c r="W16" i="164"/>
  <c r="Q16" i="164"/>
  <c r="K16" i="164"/>
  <c r="BM15" i="164"/>
  <c r="BG15" i="164"/>
  <c r="BA15" i="164"/>
  <c r="D94" i="164" s="1"/>
  <c r="AU15" i="164"/>
  <c r="D93" i="164" s="1"/>
  <c r="AO15" i="164"/>
  <c r="AI15" i="164"/>
  <c r="AC15" i="164"/>
  <c r="W15" i="164"/>
  <c r="Q15" i="164"/>
  <c r="K15" i="164"/>
  <c r="F42" i="164"/>
  <c r="BH12" i="164"/>
  <c r="BB12" i="164"/>
  <c r="AV12" i="164"/>
  <c r="AP12" i="164"/>
  <c r="AJ12" i="164"/>
  <c r="AD12" i="164"/>
  <c r="X12" i="164"/>
  <c r="R12" i="164"/>
  <c r="L12" i="164"/>
  <c r="D87" i="164" l="1"/>
  <c r="G65" i="164"/>
  <c r="G47" i="164"/>
  <c r="G1008" i="166" s="1"/>
  <c r="F64" i="164"/>
  <c r="F67" i="164" s="1"/>
  <c r="F47" i="164"/>
  <c r="I65" i="164"/>
  <c r="I47" i="164"/>
  <c r="I67" i="164"/>
  <c r="H51" i="164"/>
  <c r="F66" i="164"/>
  <c r="D92" i="164"/>
  <c r="D90" i="164"/>
  <c r="D88" i="164"/>
  <c r="D96" i="164"/>
  <c r="G66" i="164"/>
  <c r="G67" i="164" s="1"/>
  <c r="G971" i="166" s="1"/>
  <c r="C5" i="166" l="1"/>
  <c r="G68" i="164"/>
  <c r="G975" i="166" s="1"/>
</calcChain>
</file>

<file path=xl/sharedStrings.xml><?xml version="1.0" encoding="utf-8"?>
<sst xmlns="http://schemas.openxmlformats.org/spreadsheetml/2006/main" count="4952" uniqueCount="1146">
  <si>
    <t>■様式2のタイプ別 選択ガイド</t>
    <rPh sb="1" eb="3">
      <t>ヨウシキ</t>
    </rPh>
    <rPh sb="8" eb="9">
      <t>ベツ</t>
    </rPh>
    <rPh sb="10" eb="12">
      <t>センタク</t>
    </rPh>
    <phoneticPr fontId="1"/>
  </si>
  <si>
    <t>・様式2_成長投資計画書別紙 は各事業者の事情に応じて使い分けられるよう複数のタイプを設けています。</t>
    <rPh sb="1" eb="3">
      <t>ヨウシキ</t>
    </rPh>
    <rPh sb="5" eb="7">
      <t>セイチョウ</t>
    </rPh>
    <rPh sb="7" eb="9">
      <t>トウシ</t>
    </rPh>
    <rPh sb="9" eb="11">
      <t>ケイカク</t>
    </rPh>
    <rPh sb="11" eb="12">
      <t>ショ</t>
    </rPh>
    <rPh sb="12" eb="14">
      <t>ベッシ</t>
    </rPh>
    <rPh sb="16" eb="17">
      <t>カク</t>
    </rPh>
    <rPh sb="17" eb="20">
      <t>ジギョウシャ</t>
    </rPh>
    <rPh sb="21" eb="23">
      <t>ジジョウ</t>
    </rPh>
    <rPh sb="24" eb="25">
      <t>オウ</t>
    </rPh>
    <rPh sb="27" eb="28">
      <t>ツカ</t>
    </rPh>
    <rPh sb="29" eb="30">
      <t>ワ</t>
    </rPh>
    <rPh sb="36" eb="38">
      <t>フクスウ</t>
    </rPh>
    <rPh sb="43" eb="44">
      <t>モウ</t>
    </rPh>
    <phoneticPr fontId="1"/>
  </si>
  <si>
    <t>1.  A002_成長投資計画書別紙_事業者名_YYYYMMDD_VerXXX</t>
    <rPh sb="9" eb="16">
      <t>セイチョウトウシケイカクショ</t>
    </rPh>
    <rPh sb="16" eb="18">
      <t>ベッシ</t>
    </rPh>
    <rPh sb="19" eb="23">
      <t>ジギョウシャメイ</t>
    </rPh>
    <phoneticPr fontId="1"/>
  </si>
  <si>
    <t>2.  A002_成長投資計画書別紙_拠点別情報なし_事業者名_YYYYMMDD_VerXXX</t>
    <rPh sb="19" eb="24">
      <t>キョテンベツジョウホウ</t>
    </rPh>
    <phoneticPr fontId="1"/>
  </si>
  <si>
    <t>・以下より該当のタイプを選択・使用ください。</t>
    <rPh sb="1" eb="3">
      <t>イカ</t>
    </rPh>
    <rPh sb="5" eb="7">
      <t>ガイトウ</t>
    </rPh>
    <rPh sb="12" eb="14">
      <t>センタク</t>
    </rPh>
    <rPh sb="15" eb="17">
      <t>シヨウ</t>
    </rPh>
    <phoneticPr fontId="1"/>
  </si>
  <si>
    <t>　タイプによって②補助事業情報シートの内容が異なります。</t>
    <rPh sb="19" eb="21">
      <t>ナイヨウ</t>
    </rPh>
    <rPh sb="22" eb="23">
      <t>コト</t>
    </rPh>
    <phoneticPr fontId="1"/>
  </si>
  <si>
    <r>
      <t>・</t>
    </r>
    <r>
      <rPr>
        <b/>
        <sz val="11"/>
        <color theme="1"/>
        <rFont val="游ゴシック"/>
        <family val="3"/>
        <charset val="128"/>
        <scheme val="minor"/>
      </rPr>
      <t>拠点別情報なし</t>
    </r>
    <rPh sb="1" eb="4">
      <t>キョテンベツ</t>
    </rPh>
    <rPh sb="4" eb="6">
      <t>ジョウホウ</t>
    </rPh>
    <phoneticPr fontId="1"/>
  </si>
  <si>
    <t>・該当タイプ：2</t>
    <rPh sb="1" eb="3">
      <t>ガイトウ</t>
    </rPh>
    <phoneticPr fontId="1"/>
  </si>
  <si>
    <t>・補助事業を複数拠点（都道府県）で実施する事業者において、給与支給総額を拠点毎に把握できない（全社単位でしか把握できない）場合に使用ください。</t>
    <rPh sb="1" eb="5">
      <t>ホジョジギョウ</t>
    </rPh>
    <rPh sb="6" eb="8">
      <t>フクスウ</t>
    </rPh>
    <rPh sb="8" eb="10">
      <t>キョテン</t>
    </rPh>
    <rPh sb="11" eb="15">
      <t>トドウフケン</t>
    </rPh>
    <rPh sb="17" eb="19">
      <t>ジッシ</t>
    </rPh>
    <rPh sb="21" eb="24">
      <t>ジギョウシャ</t>
    </rPh>
    <rPh sb="36" eb="39">
      <t>キョテンゴト</t>
    </rPh>
    <rPh sb="40" eb="42">
      <t>ハアク</t>
    </rPh>
    <rPh sb="47" eb="49">
      <t>ゼンシャ</t>
    </rPh>
    <rPh sb="49" eb="51">
      <t>タンイ</t>
    </rPh>
    <rPh sb="54" eb="56">
      <t>ハアク</t>
    </rPh>
    <rPh sb="61" eb="63">
      <t>バアイ</t>
    </rPh>
    <rPh sb="64" eb="66">
      <t>シヨウ</t>
    </rPh>
    <phoneticPr fontId="1"/>
  </si>
  <si>
    <t>　②補助事業情報シート_7項において、拠点毎に入力した給与支給総額・従業員数が6項で自動集計されますが、以下項目は全社単位の値に上書き更新が可能です。</t>
    <rPh sb="13" eb="14">
      <t>コウ</t>
    </rPh>
    <rPh sb="19" eb="22">
      <t>キョテンゴト</t>
    </rPh>
    <rPh sb="23" eb="25">
      <t>ニュウリョク</t>
    </rPh>
    <rPh sb="27" eb="33">
      <t>キュウヨシキュウソウガク</t>
    </rPh>
    <rPh sb="34" eb="38">
      <t>ジュウギョウインスウ</t>
    </rPh>
    <rPh sb="40" eb="41">
      <t>コウ</t>
    </rPh>
    <rPh sb="42" eb="46">
      <t>ジドウシュウケイ</t>
    </rPh>
    <rPh sb="52" eb="54">
      <t>イカ</t>
    </rPh>
    <rPh sb="54" eb="56">
      <t>コウモク</t>
    </rPh>
    <rPh sb="57" eb="59">
      <t>ゼンシャ</t>
    </rPh>
    <rPh sb="59" eb="61">
      <t>タンイ</t>
    </rPh>
    <rPh sb="62" eb="63">
      <t>アタイ</t>
    </rPh>
    <rPh sb="64" eb="66">
      <t>ウワガ</t>
    </rPh>
    <rPh sb="67" eb="69">
      <t>コウシン</t>
    </rPh>
    <rPh sb="70" eb="72">
      <t>カノウ</t>
    </rPh>
    <phoneticPr fontId="1"/>
  </si>
  <si>
    <t>・6-4 給与支給総額（常時使用する従業員）</t>
    <phoneticPr fontId="1"/>
  </si>
  <si>
    <t>・6-5 給与支給総額（役員）</t>
    <phoneticPr fontId="1"/>
  </si>
  <si>
    <t>・6-8 常時使用する従業員数（就業時間換算）</t>
    <phoneticPr fontId="1"/>
  </si>
  <si>
    <t>・6-9 役員数</t>
    <phoneticPr fontId="1"/>
  </si>
  <si>
    <t>*6, 7項の上記項目を全社の数値で入力することが可能です。</t>
    <rPh sb="5" eb="6">
      <t>コウ</t>
    </rPh>
    <rPh sb="7" eb="9">
      <t>ジョウキ</t>
    </rPh>
    <rPh sb="9" eb="11">
      <t>コウモク</t>
    </rPh>
    <rPh sb="12" eb="14">
      <t>ゼンシャ</t>
    </rPh>
    <rPh sb="15" eb="16">
      <t>カズ</t>
    </rPh>
    <rPh sb="16" eb="17">
      <t>アタイ</t>
    </rPh>
    <rPh sb="18" eb="20">
      <t>ニュウリョク</t>
    </rPh>
    <rPh sb="25" eb="27">
      <t>カノウ</t>
    </rPh>
    <phoneticPr fontId="1"/>
  </si>
  <si>
    <t>■申請者情報</t>
    <rPh sb="1" eb="4">
      <t>シンセイシャ</t>
    </rPh>
    <rPh sb="4" eb="6">
      <t>ジョウホウ</t>
    </rPh>
    <phoneticPr fontId="1"/>
  </si>
  <si>
    <t>事業名</t>
    <rPh sb="0" eb="2">
      <t>ジギョウ</t>
    </rPh>
    <rPh sb="2" eb="3">
      <t>メイ</t>
    </rPh>
    <phoneticPr fontId="1"/>
  </si>
  <si>
    <t>様式1_成長投資計画書の表紙に記載の事業名を入力</t>
    <rPh sb="12" eb="14">
      <t>ヒョウシ</t>
    </rPh>
    <rPh sb="15" eb="17">
      <t>キサイ</t>
    </rPh>
    <rPh sb="18" eb="21">
      <t>ジギョウメイ</t>
    </rPh>
    <rPh sb="22" eb="24">
      <t>ニュウリョク</t>
    </rPh>
    <phoneticPr fontId="1"/>
  </si>
  <si>
    <t>1次・2次公募の採択</t>
    <rPh sb="1" eb="2">
      <t>ジ</t>
    </rPh>
    <rPh sb="4" eb="7">
      <t>ジコウボ</t>
    </rPh>
    <rPh sb="8" eb="10">
      <t>サイタク</t>
    </rPh>
    <phoneticPr fontId="1"/>
  </si>
  <si>
    <t>入力必須、リストから選択（該当・非該当）
※コンソーシアムによる共同申請の場合には、1社以上の採択がある場合に『該当』を選択</t>
    <rPh sb="0" eb="4">
      <t>ニュウリョクヒッス</t>
    </rPh>
    <rPh sb="10" eb="12">
      <t>センタク</t>
    </rPh>
    <rPh sb="13" eb="15">
      <t>ガイトウ</t>
    </rPh>
    <rPh sb="16" eb="19">
      <t>ヒガイトウ</t>
    </rPh>
    <rPh sb="32" eb="36">
      <t>キョウドウシンセイ</t>
    </rPh>
    <rPh sb="37" eb="39">
      <t>バアイ</t>
    </rPh>
    <rPh sb="43" eb="46">
      <t>シャイジョウ</t>
    </rPh>
    <rPh sb="47" eb="49">
      <t>サイタク</t>
    </rPh>
    <rPh sb="52" eb="54">
      <t>バアイ</t>
    </rPh>
    <rPh sb="56" eb="58">
      <t>ガイトウ</t>
    </rPh>
    <rPh sb="60" eb="62">
      <t>センタク</t>
    </rPh>
    <phoneticPr fontId="1"/>
  </si>
  <si>
    <t>補助率</t>
    <rPh sb="0" eb="3">
      <t>ホジョリツ</t>
    </rPh>
    <phoneticPr fontId="1"/>
  </si>
  <si>
    <t>入力必須、リストから選択（1/4補助率を許容する・1/4補助率を許容しない）</t>
    <rPh sb="10" eb="12">
      <t>センタク</t>
    </rPh>
    <rPh sb="16" eb="18">
      <t>ホジョ</t>
    </rPh>
    <rPh sb="18" eb="19">
      <t>リツ</t>
    </rPh>
    <rPh sb="20" eb="22">
      <t>キョヨウ</t>
    </rPh>
    <rPh sb="28" eb="31">
      <t>ホジョリツ</t>
    </rPh>
    <rPh sb="32" eb="34">
      <t>キョヨウ</t>
    </rPh>
    <phoneticPr fontId="1"/>
  </si>
  <si>
    <r>
      <rPr>
        <sz val="12"/>
        <rFont val="游ゴシック"/>
        <family val="3"/>
        <charset val="128"/>
        <scheme val="minor"/>
      </rPr>
      <t xml:space="preserve">申請書の中で補助率1/4を適用した事業採択も許容された事業者については、本来の採択基準に満たない場合においても追加的な採択を行う可能性があります（ただし、補助率が1/4となった場合でも、提出された賃上げに係る目標数値を達成することが要件となります。）。 </t>
    </r>
    <r>
      <rPr>
        <b/>
        <sz val="12"/>
        <rFont val="游ゴシック"/>
        <family val="3"/>
        <charset val="128"/>
        <scheme val="minor"/>
      </rPr>
      <t xml:space="preserve">
</t>
    </r>
    <r>
      <rPr>
        <u/>
        <sz val="12"/>
        <rFont val="游ゴシック"/>
        <family val="3"/>
        <charset val="128"/>
        <scheme val="minor"/>
      </rPr>
      <t>『1/4補助率を許容する』を選択した場合、補助率が1/4で採択される可能性がございます。
『1/4補助率を許容しない』を選択した場合、1/3補助率のみでの採択となります。</t>
    </r>
    <r>
      <rPr>
        <b/>
        <sz val="12"/>
        <rFont val="游ゴシック"/>
        <family val="3"/>
        <charset val="128"/>
        <scheme val="minor"/>
      </rPr>
      <t>（追加的な採択を受けない）</t>
    </r>
    <rPh sb="172" eb="175">
      <t>ホジョリツ</t>
    </rPh>
    <rPh sb="176" eb="178">
      <t>キョヨウ</t>
    </rPh>
    <rPh sb="182" eb="184">
      <t>センタク</t>
    </rPh>
    <rPh sb="186" eb="188">
      <t>バアイ</t>
    </rPh>
    <rPh sb="189" eb="192">
      <t>ホジョリツ</t>
    </rPh>
    <rPh sb="197" eb="199">
      <t>サイタク</t>
    </rPh>
    <rPh sb="202" eb="205">
      <t>カノウセイ</t>
    </rPh>
    <rPh sb="214" eb="216">
      <t>ツイカ</t>
    </rPh>
    <rPh sb="217" eb="220">
      <t>ホジョリツ</t>
    </rPh>
    <rPh sb="221" eb="223">
      <t>キョヨウセンタクバアイホジョリツサイタクユウセンテキサイタクウ</t>
    </rPh>
    <phoneticPr fontId="1"/>
  </si>
  <si>
    <t>中小企業から中堅企業への移行の宣誓</t>
    <phoneticPr fontId="1"/>
  </si>
  <si>
    <t>入力必須、リストから選択（該当・非該当）
※コンソーシアムによる共同申請の場合には、1者以上の宣誓がある場合に『該当』を選択</t>
    <rPh sb="10" eb="12">
      <t>センタク</t>
    </rPh>
    <rPh sb="13" eb="15">
      <t>ガイトウ</t>
    </rPh>
    <rPh sb="16" eb="19">
      <t>ヒガイトウ</t>
    </rPh>
    <rPh sb="32" eb="42">
      <t>キョウドウシンセイ</t>
    </rPh>
    <rPh sb="43" eb="46">
      <t>シャイジョウ</t>
    </rPh>
    <rPh sb="47" eb="49">
      <t>センセイ</t>
    </rPh>
    <rPh sb="52" eb="54">
      <t>バアイ</t>
    </rPh>
    <rPh sb="56" eb="58">
      <t>ガイトウ</t>
    </rPh>
    <rPh sb="60" eb="62">
      <t>センタク</t>
    </rPh>
    <phoneticPr fontId="1"/>
  </si>
  <si>
    <t>会社又は個人の事業者について、企業規模の面でより高い成果目標を設定し、達成できる企業に対して加点します。
『宣言する』を選択した場合、以下いずれもの要件を満たす必要があり、目標を設定したが達成できなかった場合には、企業名を公表する可能性があります。
i. 中小企業から中堅企業への移行に関する宣誓書（様式7）に「令和9年12月末までに、産業競争力強化法上の中小企業者の定義を超える従業員数及び資本金の達成」をする旨を明記。（コンソーシアム形式の場合、参加する事業者のうち少なくとも１者による目標の設定および達成で可）。
ii. 本事業の公募開始日から直近1年間以内に、減資および従業員の減少なし。
iii. 本事業の公募開始日時点で、産業競争力強化法上の中堅企業者（常時使用する従業員の数が2,000人以下の会社及び個人であり、中小企業者でない）でないこと。</t>
    <rPh sb="54" eb="56">
      <t>センゲン</t>
    </rPh>
    <rPh sb="60" eb="62">
      <t>センタク</t>
    </rPh>
    <rPh sb="64" eb="66">
      <t>バアイ</t>
    </rPh>
    <rPh sb="115" eb="118">
      <t>カノウセイ</t>
    </rPh>
    <rPh sb="128" eb="132">
      <t>チュウショウキギョウ</t>
    </rPh>
    <rPh sb="134" eb="138">
      <t>チュウケンキギョウ</t>
    </rPh>
    <rPh sb="140" eb="142">
      <t>イコウ</t>
    </rPh>
    <rPh sb="143" eb="144">
      <t>カン</t>
    </rPh>
    <rPh sb="146" eb="149">
      <t>センセイショ</t>
    </rPh>
    <rPh sb="150" eb="152">
      <t>ヨウシキ</t>
    </rPh>
    <rPh sb="156" eb="158">
      <t>レイワ</t>
    </rPh>
    <rPh sb="159" eb="160">
      <t>ネン</t>
    </rPh>
    <rPh sb="162" eb="164">
      <t>ガツマツ</t>
    </rPh>
    <rPh sb="168" eb="173">
      <t>サンギョウキョウソウリョク</t>
    </rPh>
    <rPh sb="173" eb="177">
      <t>キョウカホウジョウ</t>
    </rPh>
    <rPh sb="178" eb="183">
      <t>チュウショウキギョウシャ</t>
    </rPh>
    <rPh sb="184" eb="186">
      <t>テイギ</t>
    </rPh>
    <rPh sb="187" eb="188">
      <t>コ</t>
    </rPh>
    <rPh sb="190" eb="194">
      <t>ジュウギョウインスウ</t>
    </rPh>
    <rPh sb="194" eb="195">
      <t>オヨ</t>
    </rPh>
    <rPh sb="196" eb="199">
      <t>シホンキン</t>
    </rPh>
    <rPh sb="200" eb="202">
      <t>タッセイ</t>
    </rPh>
    <rPh sb="206" eb="207">
      <t>ムネ</t>
    </rPh>
    <rPh sb="208" eb="210">
      <t>メイキ</t>
    </rPh>
    <phoneticPr fontId="1"/>
  </si>
  <si>
    <t>補助金の併願の有無</t>
    <rPh sb="0" eb="3">
      <t>ホジョキン</t>
    </rPh>
    <rPh sb="4" eb="6">
      <t>ヘイガン</t>
    </rPh>
    <rPh sb="7" eb="9">
      <t>ウム</t>
    </rPh>
    <phoneticPr fontId="1"/>
  </si>
  <si>
    <t>入力必須、リストから選択（該当・非該当）
併願済み、併願する可能性のある場合は『該当』を選択</t>
    <rPh sb="10" eb="12">
      <t>センタク</t>
    </rPh>
    <rPh sb="13" eb="15">
      <t>ガイトウ</t>
    </rPh>
    <rPh sb="16" eb="19">
      <t>ヒガイトウ</t>
    </rPh>
    <rPh sb="21" eb="24">
      <t>ヘイガンズ</t>
    </rPh>
    <rPh sb="26" eb="28">
      <t>ヘイガン</t>
    </rPh>
    <rPh sb="30" eb="33">
      <t>カノウセイ</t>
    </rPh>
    <rPh sb="36" eb="38">
      <t>バアイ</t>
    </rPh>
    <rPh sb="40" eb="42">
      <t>ガイトウ</t>
    </rPh>
    <rPh sb="44" eb="46">
      <t>センタク</t>
    </rPh>
    <phoneticPr fontId="1"/>
  </si>
  <si>
    <t>提出日</t>
    <rPh sb="0" eb="3">
      <t>テイシュツビ</t>
    </rPh>
    <phoneticPr fontId="1"/>
  </si>
  <si>
    <t>入力必須、年月日で入力(例：2025年4月20日)</t>
    <phoneticPr fontId="1"/>
  </si>
  <si>
    <t>法人番号（インボイス登録番号）</t>
    <rPh sb="10" eb="14">
      <t>トウロクバンゴウ</t>
    </rPh>
    <phoneticPr fontId="1"/>
  </si>
  <si>
    <t>入力必須、半角数字(13桁)、
法人番号がない場合はインボイス登録番号(T+13桁)を入力</t>
    <rPh sb="5" eb="7">
      <t>ハンカク</t>
    </rPh>
    <rPh sb="7" eb="9">
      <t>スウジ</t>
    </rPh>
    <rPh sb="12" eb="13">
      <t>ケタ</t>
    </rPh>
    <rPh sb="40" eb="41">
      <t>ケタ</t>
    </rPh>
    <rPh sb="43" eb="45">
      <t>ニュウリョク</t>
    </rPh>
    <phoneticPr fontId="1"/>
  </si>
  <si>
    <t>事業者名（企業名）</t>
    <rPh sb="0" eb="3">
      <t>ジギョウシャ</t>
    </rPh>
    <rPh sb="5" eb="8">
      <t>キギョウメイ</t>
    </rPh>
    <phoneticPr fontId="1"/>
  </si>
  <si>
    <t>入力必須、
コンソーシアムによる共同申請の場合には、幹事企業を入力</t>
  </si>
  <si>
    <t>本社所在地（都道府県）</t>
    <rPh sb="0" eb="2">
      <t>ホンシャ</t>
    </rPh>
    <rPh sb="2" eb="5">
      <t>ショザイチ</t>
    </rPh>
    <rPh sb="6" eb="10">
      <t>トドウフケン</t>
    </rPh>
    <phoneticPr fontId="1"/>
  </si>
  <si>
    <t>入力必須、リストから選択</t>
    <rPh sb="10" eb="12">
      <t>センタク</t>
    </rPh>
    <phoneticPr fontId="1"/>
  </si>
  <si>
    <t>代表者名</t>
  </si>
  <si>
    <t>入力必須</t>
  </si>
  <si>
    <t>代表者役職</t>
  </si>
  <si>
    <t>担当者１</t>
  </si>
  <si>
    <t>担当者名（ふりがな）</t>
  </si>
  <si>
    <t>入力必須、ひらがな、姓名の間に全角スペースを入れる</t>
    <rPh sb="10" eb="12">
      <t>セイメイ</t>
    </rPh>
    <rPh sb="13" eb="14">
      <t>アイダ</t>
    </rPh>
    <rPh sb="15" eb="17">
      <t>ゼンカク</t>
    </rPh>
    <rPh sb="22" eb="23">
      <t>イ</t>
    </rPh>
    <phoneticPr fontId="1"/>
  </si>
  <si>
    <t>※メイン連絡先</t>
    <rPh sb="4" eb="7">
      <t>レンラクサキ</t>
    </rPh>
    <phoneticPr fontId="1"/>
  </si>
  <si>
    <t>担当者名</t>
  </si>
  <si>
    <t>入力必須、姓名の間に全角スペースを入れる</t>
    <phoneticPr fontId="1"/>
  </si>
  <si>
    <t>所属</t>
  </si>
  <si>
    <t>役職</t>
  </si>
  <si>
    <t>電話番号（代表）</t>
    <phoneticPr fontId="1"/>
  </si>
  <si>
    <t>入力必須、半角数字(10/11桁)、ハイフン除く</t>
    <rPh sb="5" eb="9">
      <t>ハンカクスウジ</t>
    </rPh>
    <rPh sb="22" eb="23">
      <t>ノゾ</t>
    </rPh>
    <phoneticPr fontId="1"/>
  </si>
  <si>
    <t>電話番号（直通）</t>
    <phoneticPr fontId="1"/>
  </si>
  <si>
    <t>半角数字(10/11桁)、ハイフン除く</t>
    <rPh sb="0" eb="4">
      <t>ハンカクスウジ</t>
    </rPh>
    <rPh sb="17" eb="18">
      <t>ノゾ</t>
    </rPh>
    <phoneticPr fontId="1"/>
  </si>
  <si>
    <t>電話番号（携帯）</t>
  </si>
  <si>
    <t>半角数字(11桁)、ハイフン除く</t>
    <rPh sb="0" eb="4">
      <t>ハンカクスウジ</t>
    </rPh>
    <rPh sb="7" eb="8">
      <t>ケタ</t>
    </rPh>
    <rPh sb="14" eb="15">
      <t>ノゾ</t>
    </rPh>
    <phoneticPr fontId="1"/>
  </si>
  <si>
    <t>e-mail</t>
  </si>
  <si>
    <t>入力必須、半角</t>
    <rPh sb="5" eb="7">
      <t>ハンカク</t>
    </rPh>
    <phoneticPr fontId="1"/>
  </si>
  <si>
    <t>担当者２</t>
  </si>
  <si>
    <t>担当者2を入力する場合は入力必須、
ひらがな、姓名の間に全角スペースを入れる</t>
    <rPh sb="0" eb="3">
      <t>タントウシャ</t>
    </rPh>
    <rPh sb="5" eb="7">
      <t>ニュウリョク</t>
    </rPh>
    <rPh sb="9" eb="11">
      <t>バアイ</t>
    </rPh>
    <rPh sb="12" eb="16">
      <t>ニュウリョクヒッス</t>
    </rPh>
    <phoneticPr fontId="1"/>
  </si>
  <si>
    <t>担当者2を入力する場合は入力必須、
姓名の間に全角スペースを入れる</t>
    <rPh sb="9" eb="11">
      <t>バアイ</t>
    </rPh>
    <phoneticPr fontId="1"/>
  </si>
  <si>
    <t>担当者2を入力する場合は入力必須、
半角数字(10/11桁)、ハイフン除く</t>
    <rPh sb="0" eb="3">
      <t>タントウシャ</t>
    </rPh>
    <rPh sb="5" eb="7">
      <t>ニュウリョク</t>
    </rPh>
    <rPh sb="9" eb="11">
      <t>バアイ</t>
    </rPh>
    <rPh sb="12" eb="16">
      <t>ニュウリョクヒッス</t>
    </rPh>
    <rPh sb="18" eb="22">
      <t>ハンカクスウジ</t>
    </rPh>
    <rPh sb="35" eb="36">
      <t>ノゾ</t>
    </rPh>
    <phoneticPr fontId="1"/>
  </si>
  <si>
    <t>担当者2を入力する場合は入力必須、半角</t>
    <rPh sb="17" eb="19">
      <t>ハンカク</t>
    </rPh>
    <phoneticPr fontId="1"/>
  </si>
  <si>
    <t>コンソーシアムあるいはリース会社との共同申請</t>
    <rPh sb="14" eb="16">
      <t>ガイシャ</t>
    </rPh>
    <rPh sb="18" eb="22">
      <t>キョウドウシンセイ</t>
    </rPh>
    <phoneticPr fontId="1"/>
  </si>
  <si>
    <t>入力必須、リストから選択（該当/非該当）</t>
    <rPh sb="10" eb="12">
      <t>センタク</t>
    </rPh>
    <rPh sb="13" eb="15">
      <t>ガイトウ</t>
    </rPh>
    <rPh sb="16" eb="17">
      <t>ヒ</t>
    </rPh>
    <rPh sb="17" eb="19">
      <t>ガイトウ</t>
    </rPh>
    <phoneticPr fontId="1"/>
  </si>
  <si>
    <t>外部支援事業者の支援</t>
    <rPh sb="0" eb="7">
      <t>ガイブシエンジギョウシャ</t>
    </rPh>
    <rPh sb="8" eb="10">
      <t>シエン</t>
    </rPh>
    <phoneticPr fontId="1"/>
  </si>
  <si>
    <t>入力必須、リストから選択（該当/非該当）</t>
    <rPh sb="10" eb="12">
      <t>センタク</t>
    </rPh>
    <phoneticPr fontId="1"/>
  </si>
  <si>
    <t>金融機関の確認書の発行</t>
    <rPh sb="0" eb="4">
      <t>キンユウキカン</t>
    </rPh>
    <rPh sb="5" eb="8">
      <t>カクニンショ</t>
    </rPh>
    <rPh sb="9" eb="11">
      <t>ハッコウ</t>
    </rPh>
    <phoneticPr fontId="1"/>
  </si>
  <si>
    <t>入力必須、リストから選択（該当/非該当）
※コンソーシアムの場合は、半数以上の発行で『該当』を選択</t>
    <phoneticPr fontId="1"/>
  </si>
  <si>
    <t>様式1における役員報酬の公表</t>
    <rPh sb="0" eb="2">
      <t>ヨウシキ</t>
    </rPh>
    <rPh sb="7" eb="11">
      <t>ヤクインホウシュウ</t>
    </rPh>
    <rPh sb="12" eb="14">
      <t>コウヒョウ</t>
    </rPh>
    <phoneticPr fontId="1"/>
  </si>
  <si>
    <t>入力必須、リストから選択（公表/非公表）</t>
    <rPh sb="10" eb="12">
      <t>センタク</t>
    </rPh>
    <rPh sb="13" eb="15">
      <t>コウヒョウ</t>
    </rPh>
    <rPh sb="17" eb="19">
      <t>コウヒョウ</t>
    </rPh>
    <phoneticPr fontId="1"/>
  </si>
  <si>
    <t>コンソーシアムあるいはリース会社との共同申請の場合は以下を入力してください。</t>
    <rPh sb="14" eb="16">
      <t>ガイシャ</t>
    </rPh>
    <rPh sb="18" eb="22">
      <t>キョウドウシンセイ</t>
    </rPh>
    <rPh sb="23" eb="25">
      <t>バアイ</t>
    </rPh>
    <rPh sb="26" eb="28">
      <t>イカ</t>
    </rPh>
    <rPh sb="29" eb="31">
      <t>ニュウリョク</t>
    </rPh>
    <phoneticPr fontId="1"/>
  </si>
  <si>
    <t>事業者2</t>
    <rPh sb="0" eb="3">
      <t>ジギョウシャ</t>
    </rPh>
    <phoneticPr fontId="1"/>
  </si>
  <si>
    <t>半角数字(13桁)、
法人番号がない場合はインボイス登録番号(T+13桁)を入力</t>
    <rPh sb="0" eb="4">
      <t>ハンカクスウジ</t>
    </rPh>
    <rPh sb="7" eb="8">
      <t>ケタ</t>
    </rPh>
    <phoneticPr fontId="1"/>
  </si>
  <si>
    <t>リース会社に該当する場合は●を選択してください</t>
    <rPh sb="3" eb="5">
      <t>カイシャ</t>
    </rPh>
    <rPh sb="6" eb="8">
      <t>ガイトウ</t>
    </rPh>
    <rPh sb="10" eb="12">
      <t>バアイ</t>
    </rPh>
    <rPh sb="15" eb="17">
      <t>センタク</t>
    </rPh>
    <phoneticPr fontId="1"/>
  </si>
  <si>
    <t>事業者3</t>
    <rPh sb="0" eb="3">
      <t>ジギョウシャ</t>
    </rPh>
    <phoneticPr fontId="1"/>
  </si>
  <si>
    <t>事業者4</t>
    <rPh sb="0" eb="3">
      <t>ジギョウシャ</t>
    </rPh>
    <phoneticPr fontId="1"/>
  </si>
  <si>
    <t>事業者5</t>
    <rPh sb="0" eb="3">
      <t>ジギョウシャ</t>
    </rPh>
    <phoneticPr fontId="1"/>
  </si>
  <si>
    <t>事業者6</t>
    <rPh sb="0" eb="3">
      <t>ジギョウシャ</t>
    </rPh>
    <phoneticPr fontId="1"/>
  </si>
  <si>
    <t>事業者7</t>
    <rPh sb="0" eb="3">
      <t>ジギョウシャ</t>
    </rPh>
    <phoneticPr fontId="1"/>
  </si>
  <si>
    <t>事業者8</t>
    <rPh sb="0" eb="3">
      <t>ジギョウシャ</t>
    </rPh>
    <phoneticPr fontId="1"/>
  </si>
  <si>
    <t>事業者9</t>
    <rPh sb="0" eb="3">
      <t>ジギョウシャ</t>
    </rPh>
    <phoneticPr fontId="1"/>
  </si>
  <si>
    <t>事業者10</t>
    <rPh sb="0" eb="3">
      <t>ジギョウシャ</t>
    </rPh>
    <phoneticPr fontId="1"/>
  </si>
  <si>
    <t>1次・2次公募の採択の状況を入力してください。</t>
    <rPh sb="1" eb="2">
      <t>ジ</t>
    </rPh>
    <rPh sb="4" eb="7">
      <t>ジコウボ</t>
    </rPh>
    <rPh sb="8" eb="10">
      <t>サイタク</t>
    </rPh>
    <rPh sb="11" eb="13">
      <t>ジョウキョウ</t>
    </rPh>
    <rPh sb="14" eb="16">
      <t>ニュウリョク</t>
    </rPh>
    <phoneticPr fontId="1"/>
  </si>
  <si>
    <t>事業者1</t>
    <rPh sb="0" eb="3">
      <t>ジギョウシャ</t>
    </rPh>
    <phoneticPr fontId="1"/>
  </si>
  <si>
    <t>1次・2次公募の採択</t>
    <phoneticPr fontId="1"/>
  </si>
  <si>
    <t>入力必須、リストから選択（該当・非該当）</t>
    <rPh sb="0" eb="4">
      <t>ニュウリョクヒッス</t>
    </rPh>
    <rPh sb="10" eb="12">
      <t>センタク</t>
    </rPh>
    <rPh sb="13" eb="15">
      <t>ガイトウ</t>
    </rPh>
    <rPh sb="16" eb="19">
      <t>ヒガイトウ</t>
    </rPh>
    <phoneticPr fontId="1"/>
  </si>
  <si>
    <t>1次・2次公募における業種（大分類）</t>
    <rPh sb="1" eb="2">
      <t>ジ</t>
    </rPh>
    <rPh sb="4" eb="7">
      <t>ジコウボ</t>
    </rPh>
    <rPh sb="11" eb="13">
      <t>ギョウシュ</t>
    </rPh>
    <rPh sb="14" eb="15">
      <t>ダイ</t>
    </rPh>
    <rPh sb="15" eb="17">
      <t>ブンルイ</t>
    </rPh>
    <phoneticPr fontId="1"/>
  </si>
  <si>
    <t>該当の場合、入力必須
1次・2次公募において採択を受けた事業の業種（大分類）を入力</t>
    <rPh sb="0" eb="2">
      <t>ガイトウ</t>
    </rPh>
    <rPh sb="3" eb="5">
      <t>バアイ</t>
    </rPh>
    <rPh sb="6" eb="10">
      <t>ニュウリョクヒッス</t>
    </rPh>
    <rPh sb="12" eb="13">
      <t>ジ</t>
    </rPh>
    <rPh sb="15" eb="16">
      <t>ジ</t>
    </rPh>
    <rPh sb="16" eb="18">
      <t>コウボ</t>
    </rPh>
    <rPh sb="22" eb="24">
      <t>サイタク</t>
    </rPh>
    <rPh sb="25" eb="26">
      <t>ウ</t>
    </rPh>
    <rPh sb="28" eb="30">
      <t>ジギョウ</t>
    </rPh>
    <rPh sb="31" eb="33">
      <t>ギョウシュ</t>
    </rPh>
    <rPh sb="34" eb="35">
      <t>ダイ</t>
    </rPh>
    <rPh sb="35" eb="37">
      <t>ブンルイ</t>
    </rPh>
    <rPh sb="39" eb="41">
      <t>ニュウリョク</t>
    </rPh>
    <phoneticPr fontId="1"/>
  </si>
  <si>
    <t>1次・2次公募における業種（中分類）</t>
    <rPh sb="1" eb="2">
      <t>ジ</t>
    </rPh>
    <rPh sb="4" eb="7">
      <t>ジコウボ</t>
    </rPh>
    <rPh sb="11" eb="13">
      <t>ギョウシュ</t>
    </rPh>
    <rPh sb="14" eb="15">
      <t>チュウ</t>
    </rPh>
    <rPh sb="15" eb="17">
      <t>ブンルイ</t>
    </rPh>
    <phoneticPr fontId="1"/>
  </si>
  <si>
    <t>該当の場合、入力必須
1次・2次公募において採択を受けた事業の業種（中分類）を入力</t>
    <rPh sb="0" eb="2">
      <t>ガイトウ</t>
    </rPh>
    <rPh sb="3" eb="5">
      <t>バアイ</t>
    </rPh>
    <rPh sb="6" eb="10">
      <t>ニュウリョクヒッス</t>
    </rPh>
    <rPh sb="12" eb="13">
      <t>ジ</t>
    </rPh>
    <rPh sb="15" eb="16">
      <t>ジ</t>
    </rPh>
    <rPh sb="16" eb="18">
      <t>コウボ</t>
    </rPh>
    <rPh sb="22" eb="24">
      <t>サイタク</t>
    </rPh>
    <rPh sb="25" eb="26">
      <t>ウ</t>
    </rPh>
    <rPh sb="28" eb="30">
      <t>ジギョウ</t>
    </rPh>
    <rPh sb="31" eb="33">
      <t>ギョウシュ</t>
    </rPh>
    <rPh sb="34" eb="35">
      <t>チュウ</t>
    </rPh>
    <rPh sb="35" eb="37">
      <t>ブンルイ</t>
    </rPh>
    <rPh sb="39" eb="41">
      <t>ニュウリョク</t>
    </rPh>
    <phoneticPr fontId="1"/>
  </si>
  <si>
    <t>1次・2次公募における業種（小分類）</t>
    <rPh sb="1" eb="2">
      <t>ジ</t>
    </rPh>
    <rPh sb="4" eb="7">
      <t>ジコウボ</t>
    </rPh>
    <rPh sb="11" eb="13">
      <t>ギョウシュ</t>
    </rPh>
    <rPh sb="14" eb="15">
      <t>ショウ</t>
    </rPh>
    <rPh sb="15" eb="17">
      <t>ブンルイ</t>
    </rPh>
    <phoneticPr fontId="1"/>
  </si>
  <si>
    <t>該当の場合、入力必須
1次・2次公募において採択を受けた事業の業種（小分類）を入力</t>
    <rPh sb="0" eb="2">
      <t>ガイトウ</t>
    </rPh>
    <rPh sb="3" eb="5">
      <t>バアイ</t>
    </rPh>
    <rPh sb="6" eb="10">
      <t>ニュウリョクヒッス</t>
    </rPh>
    <rPh sb="12" eb="13">
      <t>ジ</t>
    </rPh>
    <rPh sb="15" eb="16">
      <t>ジ</t>
    </rPh>
    <rPh sb="16" eb="18">
      <t>コウボ</t>
    </rPh>
    <rPh sb="22" eb="24">
      <t>サイタク</t>
    </rPh>
    <rPh sb="25" eb="26">
      <t>ウ</t>
    </rPh>
    <rPh sb="28" eb="30">
      <t>ジギョウ</t>
    </rPh>
    <rPh sb="31" eb="33">
      <t>ギョウシュ</t>
    </rPh>
    <rPh sb="34" eb="35">
      <t>ショウ</t>
    </rPh>
    <rPh sb="35" eb="37">
      <t>ブンルイ</t>
    </rPh>
    <rPh sb="39" eb="41">
      <t>ニュウリョク</t>
    </rPh>
    <phoneticPr fontId="1"/>
  </si>
  <si>
    <t>1次・2次公募における業種（その他）</t>
    <rPh sb="1" eb="2">
      <t>ジ</t>
    </rPh>
    <rPh sb="4" eb="7">
      <t>ジコウボ</t>
    </rPh>
    <rPh sb="11" eb="13">
      <t>ギョウシュ</t>
    </rPh>
    <rPh sb="16" eb="17">
      <t>タ</t>
    </rPh>
    <phoneticPr fontId="1"/>
  </si>
  <si>
    <t>大分類「T_分類不能の産業」、小分類「”その他の”もしくは”他に分類されない”から始まる産業」を選択した場合は必須</t>
    <rPh sb="0" eb="1">
      <t>ダイ</t>
    </rPh>
    <rPh sb="1" eb="3">
      <t>ブンルイ</t>
    </rPh>
    <rPh sb="6" eb="8">
      <t>ブンルイ</t>
    </rPh>
    <rPh sb="8" eb="10">
      <t>フノウ</t>
    </rPh>
    <rPh sb="11" eb="13">
      <t>サンギョウ</t>
    </rPh>
    <rPh sb="15" eb="16">
      <t>ショウ</t>
    </rPh>
    <rPh sb="16" eb="18">
      <t>ブンルイ</t>
    </rPh>
    <rPh sb="22" eb="23">
      <t>タ</t>
    </rPh>
    <rPh sb="30" eb="31">
      <t>ホカ</t>
    </rPh>
    <rPh sb="32" eb="34">
      <t>ブンルイ</t>
    </rPh>
    <rPh sb="41" eb="42">
      <t>ハジ</t>
    </rPh>
    <rPh sb="44" eb="46">
      <t>サンギョウ</t>
    </rPh>
    <rPh sb="48" eb="50">
      <t>センタク</t>
    </rPh>
    <rPh sb="52" eb="54">
      <t>バアイ</t>
    </rPh>
    <rPh sb="55" eb="57">
      <t>ヒッス</t>
    </rPh>
    <phoneticPr fontId="1"/>
  </si>
  <si>
    <t>外部支援事業者の支援を受けた場合は以下を入力してください。(成長投資計画書等の作成を支援した外部支援者（コンサル等）がいる場合は必須)</t>
    <rPh sb="0" eb="7">
      <t>ガイブシエンジギョウシャ</t>
    </rPh>
    <rPh sb="8" eb="10">
      <t>シエン</t>
    </rPh>
    <rPh sb="11" eb="12">
      <t>ウ</t>
    </rPh>
    <rPh sb="14" eb="16">
      <t>バアイ</t>
    </rPh>
    <rPh sb="17" eb="19">
      <t>イカ</t>
    </rPh>
    <rPh sb="20" eb="22">
      <t>ニュウリョク</t>
    </rPh>
    <phoneticPr fontId="1"/>
  </si>
  <si>
    <t>外部支援事業者1</t>
    <phoneticPr fontId="1"/>
  </si>
  <si>
    <t>事業者名（企業名）</t>
    <rPh sb="0" eb="4">
      <t>ジギョウシャメイ</t>
    </rPh>
    <rPh sb="5" eb="8">
      <t>キギョウメイ</t>
    </rPh>
    <phoneticPr fontId="1"/>
  </si>
  <si>
    <t>支援期間</t>
    <rPh sb="0" eb="4">
      <t>シエンキカン</t>
    </rPh>
    <phoneticPr fontId="1"/>
  </si>
  <si>
    <t>年月日で入力(例：2025年3月1日～2025年5月10日)</t>
    <rPh sb="23" eb="24">
      <t>ネン</t>
    </rPh>
    <rPh sb="25" eb="26">
      <t>ガツ</t>
    </rPh>
    <rPh sb="28" eb="29">
      <t>ニチ</t>
    </rPh>
    <phoneticPr fontId="1"/>
  </si>
  <si>
    <t>外部支援事業者2</t>
  </si>
  <si>
    <t>外部支援事業者3</t>
  </si>
  <si>
    <t>外部支援事業者4</t>
  </si>
  <si>
    <t>外部支援事業者5</t>
  </si>
  <si>
    <t>外部支援事業者6</t>
  </si>
  <si>
    <t>外部支援事業者7</t>
  </si>
  <si>
    <t>外部支援事業者8</t>
  </si>
  <si>
    <t>外部支援事業者9</t>
  </si>
  <si>
    <t>外部支援事業者10</t>
  </si>
  <si>
    <t>金融機関の確認書を提出した場合は以下を入力してください。（金融機関の確認書を提出した場合は必須）</t>
    <rPh sb="0" eb="4">
      <t>キンユウキカン</t>
    </rPh>
    <rPh sb="5" eb="8">
      <t>カクニンショ</t>
    </rPh>
    <rPh sb="9" eb="11">
      <t>テイシュツ</t>
    </rPh>
    <rPh sb="13" eb="15">
      <t>バアイ</t>
    </rPh>
    <rPh sb="16" eb="18">
      <t>イカ</t>
    </rPh>
    <rPh sb="19" eb="21">
      <t>ニュウリョク</t>
    </rPh>
    <rPh sb="29" eb="33">
      <t>キンユウキカン</t>
    </rPh>
    <rPh sb="34" eb="36">
      <t>カクニン</t>
    </rPh>
    <rPh sb="36" eb="37">
      <t>ショ</t>
    </rPh>
    <rPh sb="45" eb="47">
      <t>ヒッス</t>
    </rPh>
    <phoneticPr fontId="1"/>
  </si>
  <si>
    <t>金融機関1</t>
    <rPh sb="0" eb="4">
      <t>キンユウキカン</t>
    </rPh>
    <phoneticPr fontId="1"/>
  </si>
  <si>
    <t>事業者名（企業名）</t>
    <rPh sb="0" eb="3">
      <t>ジギョウシャ</t>
    </rPh>
    <rPh sb="3" eb="4">
      <t>メイ</t>
    </rPh>
    <rPh sb="5" eb="8">
      <t>キギョウメイ</t>
    </rPh>
    <phoneticPr fontId="1"/>
  </si>
  <si>
    <t>金融機関2</t>
    <rPh sb="0" eb="4">
      <t>キンユウキカン</t>
    </rPh>
    <phoneticPr fontId="1"/>
  </si>
  <si>
    <t>金融機関3</t>
    <rPh sb="0" eb="4">
      <t>キンユウキカン</t>
    </rPh>
    <phoneticPr fontId="1"/>
  </si>
  <si>
    <t>金融機関4</t>
    <rPh sb="0" eb="4">
      <t>キンユウキカン</t>
    </rPh>
    <phoneticPr fontId="1"/>
  </si>
  <si>
    <t>金融機関5</t>
    <rPh sb="0" eb="4">
      <t>キンユウキカン</t>
    </rPh>
    <phoneticPr fontId="1"/>
  </si>
  <si>
    <t>金融機関6</t>
    <rPh sb="0" eb="4">
      <t>キンユウキカン</t>
    </rPh>
    <phoneticPr fontId="1"/>
  </si>
  <si>
    <t>金融機関7</t>
    <rPh sb="0" eb="4">
      <t>キンユウキカン</t>
    </rPh>
    <phoneticPr fontId="1"/>
  </si>
  <si>
    <t>金融機関8</t>
    <rPh sb="0" eb="4">
      <t>キンユウキカン</t>
    </rPh>
    <phoneticPr fontId="1"/>
  </si>
  <si>
    <t>金融機関9</t>
    <rPh sb="0" eb="4">
      <t>キンユウキカン</t>
    </rPh>
    <phoneticPr fontId="1"/>
  </si>
  <si>
    <t>金融機関10</t>
    <rPh sb="0" eb="4">
      <t>キンユウキカン</t>
    </rPh>
    <phoneticPr fontId="1"/>
  </si>
  <si>
    <t>中小企業から中堅企業への移行の宣誓書を提出した場合は以下を入力してください。（中小企業から中堅企業への移行の宣誓書を提出した場合は必須）</t>
    <rPh sb="19" eb="21">
      <t>テイシュツ</t>
    </rPh>
    <rPh sb="23" eb="25">
      <t>バアイ</t>
    </rPh>
    <rPh sb="26" eb="28">
      <t>イカ</t>
    </rPh>
    <rPh sb="29" eb="31">
      <t>ニュウリョク</t>
    </rPh>
    <rPh sb="65" eb="67">
      <t>ヒッス</t>
    </rPh>
    <phoneticPr fontId="1"/>
  </si>
  <si>
    <t>資本金基準 現在</t>
    <rPh sb="0" eb="5">
      <t>シホンキンキジュン</t>
    </rPh>
    <rPh sb="6" eb="8">
      <t>ゲンザイ</t>
    </rPh>
    <phoneticPr fontId="1"/>
  </si>
  <si>
    <t>中小企業から中堅企業への移行の宣誓書を提出した場合は必須　
単位：円</t>
    <rPh sb="30" eb="32">
      <t>タンイ</t>
    </rPh>
    <rPh sb="33" eb="34">
      <t>エン</t>
    </rPh>
    <phoneticPr fontId="1"/>
  </si>
  <si>
    <t>資本金基準 目標</t>
    <rPh sb="0" eb="5">
      <t>シホンキンキジュン</t>
    </rPh>
    <rPh sb="6" eb="8">
      <t>モクヒョウ</t>
    </rPh>
    <phoneticPr fontId="1"/>
  </si>
  <si>
    <t>従業員数基準 現在</t>
    <rPh sb="0" eb="6">
      <t>ジュウギョウインスウキジュン</t>
    </rPh>
    <rPh sb="7" eb="9">
      <t>ゲンザイ</t>
    </rPh>
    <phoneticPr fontId="1"/>
  </si>
  <si>
    <t>中小企業から中堅企業への移行の宣誓書を提出した場合は必須　
単位：人</t>
    <rPh sb="30" eb="32">
      <t>タンイ</t>
    </rPh>
    <rPh sb="33" eb="34">
      <t>ニン</t>
    </rPh>
    <phoneticPr fontId="1"/>
  </si>
  <si>
    <t>従業員数基準 目標</t>
    <rPh sb="0" eb="6">
      <t>ジュウギョウインスウキジュン</t>
    </rPh>
    <rPh sb="7" eb="9">
      <t>モクヒョウ</t>
    </rPh>
    <phoneticPr fontId="1"/>
  </si>
  <si>
    <t>&lt;入力チェック&gt;</t>
    <rPh sb="1" eb="3">
      <t>ニュウリョク</t>
    </rPh>
    <phoneticPr fontId="1"/>
  </si>
  <si>
    <t>入力内容に不備がある場合「チェック結果」欄にメッセージが表示されます。メッセージが表示されている場合は申請不備となりますので注意してください。</t>
    <rPh sb="0" eb="2">
      <t>ニュウリョク</t>
    </rPh>
    <rPh sb="2" eb="4">
      <t>ナイヨウ</t>
    </rPh>
    <rPh sb="5" eb="7">
      <t>フビ</t>
    </rPh>
    <rPh sb="10" eb="12">
      <t>バアイ</t>
    </rPh>
    <rPh sb="17" eb="19">
      <t>ケッカ</t>
    </rPh>
    <rPh sb="20" eb="21">
      <t>ラン</t>
    </rPh>
    <rPh sb="28" eb="30">
      <t>ヒョウジ</t>
    </rPh>
    <rPh sb="41" eb="43">
      <t>ヒョウジ</t>
    </rPh>
    <rPh sb="48" eb="50">
      <t>バアイ</t>
    </rPh>
    <rPh sb="51" eb="55">
      <t>シンセイフビ</t>
    </rPh>
    <rPh sb="62" eb="64">
      <t>チュウイ</t>
    </rPh>
    <phoneticPr fontId="1"/>
  </si>
  <si>
    <t>#_項目</t>
    <rPh sb="2" eb="4">
      <t>コウモク</t>
    </rPh>
    <phoneticPr fontId="1"/>
  </si>
  <si>
    <t>チェック内容</t>
    <rPh sb="4" eb="6">
      <t>ナイヨウ</t>
    </rPh>
    <phoneticPr fontId="1"/>
  </si>
  <si>
    <t>チェック結果</t>
    <rPh sb="4" eb="6">
      <t>ケッカ</t>
    </rPh>
    <phoneticPr fontId="1"/>
  </si>
  <si>
    <t>#Err：正しい形式で入力されているか確認してください</t>
  </si>
  <si>
    <t>入力必須</t>
    <phoneticPr fontId="1"/>
  </si>
  <si>
    <t>1/4補助率を許容する・1/4補助率を許容しないのいずれかを選択</t>
    <rPh sb="3" eb="6">
      <t>ホジョリツ</t>
    </rPh>
    <rPh sb="7" eb="9">
      <t>キョヨウ</t>
    </rPh>
    <rPh sb="15" eb="18">
      <t>ホジョリツ</t>
    </rPh>
    <rPh sb="19" eb="21">
      <t>キョヨウ</t>
    </rPh>
    <rPh sb="30" eb="32">
      <t>センタク</t>
    </rPh>
    <phoneticPr fontId="1"/>
  </si>
  <si>
    <t>該当・非該当のいずれかを選択</t>
    <rPh sb="0" eb="2">
      <t>ガイトウ</t>
    </rPh>
    <rPh sb="3" eb="6">
      <t>ヒガイトウ</t>
    </rPh>
    <rPh sb="12" eb="14">
      <t>センタク</t>
    </rPh>
    <phoneticPr fontId="1"/>
  </si>
  <si>
    <t>公募開始日以降の日付を入力</t>
    <rPh sb="0" eb="2">
      <t>コウボ</t>
    </rPh>
    <rPh sb="2" eb="5">
      <t>カイシビ</t>
    </rPh>
    <rPh sb="5" eb="7">
      <t>イコウ</t>
    </rPh>
    <rPh sb="8" eb="10">
      <t>ヒヅケ</t>
    </rPh>
    <rPh sb="11" eb="13">
      <t>ニュウリョク</t>
    </rPh>
    <phoneticPr fontId="1"/>
  </si>
  <si>
    <t>13桁の半角数字もしくはT+13桁の数字（何れも半角）で入力</t>
    <rPh sb="16" eb="17">
      <t>ケタ</t>
    </rPh>
    <rPh sb="18" eb="20">
      <t>スウジ</t>
    </rPh>
    <rPh sb="21" eb="22">
      <t>イズ</t>
    </rPh>
    <rPh sb="24" eb="26">
      <t>ハンカク</t>
    </rPh>
    <rPh sb="28" eb="30">
      <t>ニュウリョク</t>
    </rPh>
    <phoneticPr fontId="1"/>
  </si>
  <si>
    <t>プルダウンより選択された都道府県名</t>
    <rPh sb="7" eb="9">
      <t>センタク</t>
    </rPh>
    <rPh sb="12" eb="16">
      <t>トドウフケン</t>
    </rPh>
    <rPh sb="16" eb="17">
      <t>ナ</t>
    </rPh>
    <phoneticPr fontId="1"/>
  </si>
  <si>
    <t>入力必須</t>
    <rPh sb="0" eb="4">
      <t>ニュウリョクヒッス</t>
    </rPh>
    <phoneticPr fontId="1"/>
  </si>
  <si>
    <t>入力必須、スペースやハイフンを除き10桁/11桁の半角数字で入力</t>
    <rPh sb="0" eb="4">
      <t>ニュウリョクヒッス</t>
    </rPh>
    <phoneticPr fontId="1"/>
  </si>
  <si>
    <t>入力したらスペースやハイフンを除き10桁/11桁の半角数字で入力</t>
    <rPh sb="0" eb="2">
      <t>ニュウリョク</t>
    </rPh>
    <phoneticPr fontId="1"/>
  </si>
  <si>
    <t>入力したらスペースやハイフンを除き11桁の半角数字で入力</t>
    <phoneticPr fontId="1"/>
  </si>
  <si>
    <t>入力必須、メールアドレスの形式に則っていること</t>
    <rPh sb="0" eb="2">
      <t>ニュウリョク</t>
    </rPh>
    <rPh sb="2" eb="4">
      <t>ヒッス</t>
    </rPh>
    <rPh sb="13" eb="15">
      <t>ケイシキ</t>
    </rPh>
    <rPh sb="16" eb="17">
      <t>ノット</t>
    </rPh>
    <phoneticPr fontId="1"/>
  </si>
  <si>
    <t>担当者2_担当者名を入力したら入力必須</t>
    <phoneticPr fontId="1"/>
  </si>
  <si>
    <t>担当者2に係る他項目のいずれかを入力したら入力必須</t>
    <rPh sb="5" eb="6">
      <t>カカワ</t>
    </rPh>
    <rPh sb="7" eb="8">
      <t>ホカ</t>
    </rPh>
    <rPh sb="8" eb="10">
      <t>コウモク</t>
    </rPh>
    <rPh sb="16" eb="18">
      <t>ニュウリョク</t>
    </rPh>
    <rPh sb="21" eb="25">
      <t>ニュウリョクヒッス</t>
    </rPh>
    <phoneticPr fontId="1"/>
  </si>
  <si>
    <t>担当者2_担当者名を入力したら入力必須、
スペースやハイフンを除き10桁/11桁の半角数字で入力</t>
    <rPh sb="31" eb="32">
      <t>ノゾ</t>
    </rPh>
    <rPh sb="35" eb="36">
      <t>ケタ</t>
    </rPh>
    <rPh sb="39" eb="40">
      <t>ケタ</t>
    </rPh>
    <rPh sb="41" eb="43">
      <t>ハンカク</t>
    </rPh>
    <rPh sb="43" eb="45">
      <t>スウジ</t>
    </rPh>
    <rPh sb="46" eb="48">
      <t>ニュウリョク</t>
    </rPh>
    <phoneticPr fontId="1"/>
  </si>
  <si>
    <t>担当者2_担当者名を入力したら入力必須、
メールアドレスの形式に則っていること</t>
    <phoneticPr fontId="1"/>
  </si>
  <si>
    <t>該当・非該当のいずれかを選択
該当の場合、コンソーシアムの申請者名を記載</t>
    <rPh sb="0" eb="2">
      <t>ガイトウ</t>
    </rPh>
    <rPh sb="3" eb="6">
      <t>ヒガイトウ</t>
    </rPh>
    <rPh sb="12" eb="14">
      <t>センタク</t>
    </rPh>
    <rPh sb="15" eb="17">
      <t>ガイトウ</t>
    </rPh>
    <rPh sb="18" eb="20">
      <t>バアイ</t>
    </rPh>
    <rPh sb="29" eb="33">
      <t>シンセイシャメイ</t>
    </rPh>
    <rPh sb="34" eb="36">
      <t>キサイ</t>
    </rPh>
    <phoneticPr fontId="1"/>
  </si>
  <si>
    <t>該当・非該当のいずれかを選択
該当の場合、外部支援事業者名、支援期間を記載</t>
    <rPh sb="0" eb="2">
      <t>ガイトウ</t>
    </rPh>
    <rPh sb="3" eb="6">
      <t>ヒガイトウ</t>
    </rPh>
    <rPh sb="12" eb="14">
      <t>センタク</t>
    </rPh>
    <rPh sb="15" eb="17">
      <t>ガイトウ</t>
    </rPh>
    <rPh sb="18" eb="20">
      <t>バアイ</t>
    </rPh>
    <rPh sb="21" eb="28">
      <t>ガイブシエンジギョウシャ</t>
    </rPh>
    <rPh sb="28" eb="29">
      <t>メイ</t>
    </rPh>
    <rPh sb="30" eb="34">
      <t>シエンキカン</t>
    </rPh>
    <rPh sb="35" eb="37">
      <t>キサイ</t>
    </rPh>
    <phoneticPr fontId="1"/>
  </si>
  <si>
    <t>該当・非該当のいずれかを選択
該当の場合、金融機関名を記載</t>
    <rPh sb="0" eb="2">
      <t>ガイトウ</t>
    </rPh>
    <rPh sb="3" eb="6">
      <t>ヒガイトウ</t>
    </rPh>
    <rPh sb="12" eb="14">
      <t>センタク</t>
    </rPh>
    <rPh sb="15" eb="17">
      <t>ガイトウ</t>
    </rPh>
    <rPh sb="18" eb="20">
      <t>バアイ</t>
    </rPh>
    <rPh sb="21" eb="26">
      <t>キンユウキカンメイ</t>
    </rPh>
    <rPh sb="27" eb="29">
      <t>キサイ</t>
    </rPh>
    <phoneticPr fontId="1"/>
  </si>
  <si>
    <t>公表・非公表のいずれかを選択</t>
    <rPh sb="0" eb="2">
      <t>コウヒョウ</t>
    </rPh>
    <rPh sb="3" eb="6">
      <t>ヒコウヒョウ</t>
    </rPh>
    <rPh sb="12" eb="14">
      <t>センタク</t>
    </rPh>
    <phoneticPr fontId="1"/>
  </si>
  <si>
    <t>コンソーシアムによる共同申請</t>
    <rPh sb="10" eb="14">
      <t>キョウドウシンセイ</t>
    </rPh>
    <phoneticPr fontId="1"/>
  </si>
  <si>
    <t xml:space="preserve"> </t>
    <phoneticPr fontId="1"/>
  </si>
  <si>
    <t>事業者2_事業者名（企業名）を入力したら入力必須、
13桁の半角数字もしくはT+13桁の数字（何れも半角）</t>
    <rPh sb="42" eb="43">
      <t>ケタ</t>
    </rPh>
    <rPh sb="44" eb="46">
      <t>スウジ</t>
    </rPh>
    <rPh sb="47" eb="48">
      <t>イズ</t>
    </rPh>
    <rPh sb="50" eb="52">
      <t>ハンカク</t>
    </rPh>
    <phoneticPr fontId="2"/>
  </si>
  <si>
    <t>事業者2_法人番号を入力したら入力必須</t>
    <rPh sb="10" eb="12">
      <t>ニュウリョク</t>
    </rPh>
    <rPh sb="15" eb="19">
      <t>ニュウリョクヒッス</t>
    </rPh>
    <phoneticPr fontId="1"/>
  </si>
  <si>
    <t>入力したら●のみ可</t>
    <rPh sb="0" eb="2">
      <t>ニュウリョク</t>
    </rPh>
    <rPh sb="8" eb="9">
      <t>カ</t>
    </rPh>
    <phoneticPr fontId="1"/>
  </si>
  <si>
    <t>事業者3_事業者名（企業名）を入力したら入力必須、
13桁の半角数字もしくはT+13桁の数字（何れも半角）</t>
    <rPh sb="42" eb="43">
      <t>ケタ</t>
    </rPh>
    <rPh sb="44" eb="46">
      <t>スウジ</t>
    </rPh>
    <rPh sb="47" eb="48">
      <t>イズ</t>
    </rPh>
    <rPh sb="50" eb="52">
      <t>ハンカク</t>
    </rPh>
    <phoneticPr fontId="2"/>
  </si>
  <si>
    <t>事業者3_法人番号を入力したら入力必須</t>
    <rPh sb="10" eb="12">
      <t>ニュウリョク</t>
    </rPh>
    <rPh sb="15" eb="19">
      <t>ニュウリョクヒッス</t>
    </rPh>
    <phoneticPr fontId="1"/>
  </si>
  <si>
    <t>事業者4_事業者名（企業名）を入力したら入力必須、
13桁の半角数字もしくはT+13桁の数字（何れも半角）</t>
    <rPh sb="42" eb="43">
      <t>ケタ</t>
    </rPh>
    <rPh sb="44" eb="46">
      <t>スウジ</t>
    </rPh>
    <rPh sb="47" eb="48">
      <t>イズ</t>
    </rPh>
    <rPh sb="50" eb="52">
      <t>ハンカク</t>
    </rPh>
    <phoneticPr fontId="2"/>
  </si>
  <si>
    <t>事業者4_法人番号を入力したら入力必須</t>
  </si>
  <si>
    <t>入力したら●のみ可</t>
    <phoneticPr fontId="1"/>
  </si>
  <si>
    <t>事業者5_事業者名（企業名）を入力したら入力必須、
13桁の半角数字もしくはT+13桁の数字（何れも半角）</t>
    <rPh sb="42" eb="43">
      <t>ケタ</t>
    </rPh>
    <rPh sb="44" eb="46">
      <t>スウジ</t>
    </rPh>
    <rPh sb="47" eb="48">
      <t>イズ</t>
    </rPh>
    <rPh sb="50" eb="52">
      <t>ハンカク</t>
    </rPh>
    <phoneticPr fontId="2"/>
  </si>
  <si>
    <t>事業者5_法人番号を入力したら入力必須</t>
  </si>
  <si>
    <t>事業者6_事業者名（企業名）を入力したら入力必須、
13桁の半角数字もしくはT+13桁の数字（何れも半角）</t>
    <rPh sb="42" eb="43">
      <t>ケタ</t>
    </rPh>
    <rPh sb="44" eb="46">
      <t>スウジ</t>
    </rPh>
    <rPh sb="47" eb="48">
      <t>イズ</t>
    </rPh>
    <rPh sb="50" eb="52">
      <t>ハンカク</t>
    </rPh>
    <phoneticPr fontId="2"/>
  </si>
  <si>
    <t>事業者6_法人番号を入力したら入力必須</t>
  </si>
  <si>
    <t>事業者7_事業者名（企業名）を入力したら入力必須、
13桁の半角数字もしくはT+13桁の数字（何れも半角）</t>
    <rPh sb="46" eb="47">
      <t>ケタ</t>
    </rPh>
    <rPh sb="48" eb="50">
      <t>スウジ</t>
    </rPh>
    <rPh sb="51" eb="52">
      <t>イズハンカク</t>
    </rPh>
    <phoneticPr fontId="2"/>
  </si>
  <si>
    <t>事業者7_法人番号を入力したら入力必須</t>
  </si>
  <si>
    <t>事業者8_事業者名（企業名）を入力したら入力必須、
13桁の半角数字もしくはT+13桁の数字（何れも半角）</t>
    <rPh sb="46" eb="47">
      <t>ケタ</t>
    </rPh>
    <rPh sb="48" eb="50">
      <t>スウジ</t>
    </rPh>
    <rPh sb="51" eb="52">
      <t>イズハンカク</t>
    </rPh>
    <phoneticPr fontId="2"/>
  </si>
  <si>
    <t>事業者8_法人番号を入力したら入力必須</t>
  </si>
  <si>
    <t>事業者9_事業者名（企業名）を入力したら入力必須、
13桁の半角数字もしくはT+13桁の数字（何れも半角）</t>
    <rPh sb="46" eb="47">
      <t>ケタ</t>
    </rPh>
    <rPh sb="48" eb="50">
      <t>スウジ</t>
    </rPh>
    <rPh sb="51" eb="52">
      <t>イズハンカク</t>
    </rPh>
    <phoneticPr fontId="2"/>
  </si>
  <si>
    <t>事業者9_法人番号を入力したら入力必須</t>
  </si>
  <si>
    <t>事業者10_事業者名（企業名）を入力したら入力必須、
13桁の半角数字もしくはT+13桁の数字（何れも半角）</t>
    <rPh sb="47" eb="48">
      <t>ケタ</t>
    </rPh>
    <rPh sb="49" eb="51">
      <t>スウジ</t>
    </rPh>
    <rPh sb="52" eb="53">
      <t>イズハンカク</t>
    </rPh>
    <phoneticPr fontId="2"/>
  </si>
  <si>
    <t>事業者10_法人番号を入力したら入力必須</t>
  </si>
  <si>
    <t>1次・2次公募の採択の状況</t>
    <phoneticPr fontId="1"/>
  </si>
  <si>
    <t>コンソーシアムの事業者名を入力したら入力必須</t>
    <rPh sb="8" eb="12">
      <t>ジギョウシャメイ</t>
    </rPh>
    <rPh sb="13" eb="15">
      <t>ニュウリョク</t>
    </rPh>
    <rPh sb="18" eb="22">
      <t>ニュウリョクヒッス</t>
    </rPh>
    <phoneticPr fontId="1"/>
  </si>
  <si>
    <t>■補助事業情報</t>
    <rPh sb="1" eb="3">
      <t>ホジョ</t>
    </rPh>
    <rPh sb="3" eb="5">
      <t>ジギョウ</t>
    </rPh>
    <rPh sb="5" eb="7">
      <t>ジョウホウ</t>
    </rPh>
    <phoneticPr fontId="1"/>
  </si>
  <si>
    <t>(1)提出日　　　　：</t>
    <rPh sb="3" eb="6">
      <t>テイシュツビ</t>
    </rPh>
    <phoneticPr fontId="1"/>
  </si>
  <si>
    <t>(2)事業者名　　　：</t>
    <rPh sb="3" eb="7">
      <t>ジギョウシャメイ</t>
    </rPh>
    <phoneticPr fontId="1"/>
  </si>
  <si>
    <t>(3)最新決算期末日：</t>
    <rPh sb="3" eb="5">
      <t>サイシン</t>
    </rPh>
    <rPh sb="5" eb="7">
      <t>ケッサン</t>
    </rPh>
    <rPh sb="7" eb="9">
      <t>キマツ</t>
    </rPh>
    <rPh sb="9" eb="10">
      <t>ヒ</t>
    </rPh>
    <phoneticPr fontId="1"/>
  </si>
  <si>
    <t>(4)補助事業完了日：</t>
    <rPh sb="3" eb="5">
      <t>ホジョ</t>
    </rPh>
    <rPh sb="5" eb="7">
      <t>ジギョウ</t>
    </rPh>
    <rPh sb="7" eb="9">
      <t>カンリョウ</t>
    </rPh>
    <rPh sb="9" eb="10">
      <t>ビ</t>
    </rPh>
    <phoneticPr fontId="1"/>
  </si>
  <si>
    <t>（金額単位：円）</t>
  </si>
  <si>
    <t>(5)補助事業完了日　</t>
    <rPh sb="3" eb="5">
      <t>ホジョ</t>
    </rPh>
    <rPh sb="5" eb="7">
      <t>ジギョウ</t>
    </rPh>
    <rPh sb="7" eb="9">
      <t>カンリョウ</t>
    </rPh>
    <rPh sb="9" eb="10">
      <t>ビ</t>
    </rPh>
    <phoneticPr fontId="1"/>
  </si>
  <si>
    <t>前々期決算期</t>
    <rPh sb="0" eb="2">
      <t>ゼンゼン</t>
    </rPh>
    <rPh sb="2" eb="3">
      <t>キ</t>
    </rPh>
    <rPh sb="3" eb="5">
      <t>ケッサン</t>
    </rPh>
    <rPh sb="5" eb="6">
      <t>キ</t>
    </rPh>
    <phoneticPr fontId="1"/>
  </si>
  <si>
    <t>前期決算期</t>
    <rPh sb="0" eb="2">
      <t>ゼンキ</t>
    </rPh>
    <rPh sb="2" eb="4">
      <t>ケッサン</t>
    </rPh>
    <rPh sb="4" eb="5">
      <t>キ</t>
    </rPh>
    <phoneticPr fontId="1"/>
  </si>
  <si>
    <t>最新決算期</t>
    <rPh sb="0" eb="5">
      <t>サイシンケッサンキ</t>
    </rPh>
    <phoneticPr fontId="1"/>
  </si>
  <si>
    <t>補助事業期間＋事業化報告期間</t>
    <rPh sb="0" eb="4">
      <t>ホジョジギョウ</t>
    </rPh>
    <rPh sb="4" eb="6">
      <t>キカン</t>
    </rPh>
    <rPh sb="7" eb="9">
      <t>ジギョウ</t>
    </rPh>
    <rPh sb="9" eb="10">
      <t>カ</t>
    </rPh>
    <rPh sb="10" eb="12">
      <t>ホウコク</t>
    </rPh>
    <rPh sb="12" eb="14">
      <t>キカン</t>
    </rPh>
    <phoneticPr fontId="1"/>
  </si>
  <si>
    <t>を含む事業年度：</t>
    <rPh sb="1" eb="2">
      <t>フク</t>
    </rPh>
    <rPh sb="3" eb="5">
      <t>ジギョウ</t>
    </rPh>
    <rPh sb="5" eb="7">
      <t>ネンド</t>
    </rPh>
    <phoneticPr fontId="1"/>
  </si>
  <si>
    <t>(6)基準年度変更　：</t>
    <rPh sb="3" eb="5">
      <t>キジュン</t>
    </rPh>
    <rPh sb="5" eb="6">
      <t>ネン</t>
    </rPh>
    <rPh sb="6" eb="7">
      <t>ド</t>
    </rPh>
    <rPh sb="7" eb="9">
      <t>ヘンコウ</t>
    </rPh>
    <phoneticPr fontId="1"/>
  </si>
  <si>
    <t>&lt;会社全体にかかる財務数値&gt;</t>
    <rPh sb="1" eb="3">
      <t>カイシャ</t>
    </rPh>
    <rPh sb="3" eb="5">
      <t>ゼンタイ</t>
    </rPh>
    <rPh sb="9" eb="11">
      <t>ザイム</t>
    </rPh>
    <rPh sb="11" eb="13">
      <t>スウチ</t>
    </rPh>
    <phoneticPr fontId="1"/>
  </si>
  <si>
    <t>■貸借対照表（B/S）項目</t>
    <rPh sb="1" eb="3">
      <t>タイシャク</t>
    </rPh>
    <rPh sb="3" eb="6">
      <t>タイショウヒョウ</t>
    </rPh>
    <rPh sb="11" eb="13">
      <t>コウモク</t>
    </rPh>
    <phoneticPr fontId="1"/>
  </si>
  <si>
    <t>資産総額</t>
    <rPh sb="0" eb="2">
      <t>シサン</t>
    </rPh>
    <rPh sb="2" eb="4">
      <t>ソウガク</t>
    </rPh>
    <phoneticPr fontId="1"/>
  </si>
  <si>
    <t>うち流動資産</t>
    <rPh sb="2" eb="6">
      <t>リュウドウシサン</t>
    </rPh>
    <phoneticPr fontId="1"/>
  </si>
  <si>
    <t>うち固定資産</t>
    <rPh sb="2" eb="4">
      <t>コテイ</t>
    </rPh>
    <rPh sb="4" eb="6">
      <t>シサン</t>
    </rPh>
    <phoneticPr fontId="1"/>
  </si>
  <si>
    <t>うち有形固定資産</t>
    <rPh sb="2" eb="4">
      <t>ユウケイ</t>
    </rPh>
    <rPh sb="4" eb="6">
      <t>コテイ</t>
    </rPh>
    <rPh sb="6" eb="8">
      <t>シサン</t>
    </rPh>
    <phoneticPr fontId="1"/>
  </si>
  <si>
    <t>うち無形固定資産</t>
    <rPh sb="2" eb="4">
      <t>ムケイ</t>
    </rPh>
    <rPh sb="4" eb="6">
      <t>コテイ</t>
    </rPh>
    <rPh sb="6" eb="8">
      <t>シサン</t>
    </rPh>
    <phoneticPr fontId="1"/>
  </si>
  <si>
    <t>負債総額</t>
    <rPh sb="0" eb="2">
      <t>フサイ</t>
    </rPh>
    <rPh sb="2" eb="4">
      <t>ソウガク</t>
    </rPh>
    <phoneticPr fontId="1"/>
  </si>
  <si>
    <t>うち流動負債</t>
    <rPh sb="2" eb="4">
      <t>リュウドウ</t>
    </rPh>
    <rPh sb="4" eb="6">
      <t>フサイ</t>
    </rPh>
    <phoneticPr fontId="1"/>
  </si>
  <si>
    <t>うち固定負債</t>
    <rPh sb="2" eb="4">
      <t>コテイ</t>
    </rPh>
    <rPh sb="4" eb="6">
      <t>フサイ</t>
    </rPh>
    <phoneticPr fontId="1"/>
  </si>
  <si>
    <t>純資産総額</t>
    <rPh sb="0" eb="3">
      <t>ジュンシサン</t>
    </rPh>
    <rPh sb="3" eb="5">
      <t>ソウガク</t>
    </rPh>
    <phoneticPr fontId="1"/>
  </si>
  <si>
    <t>うち資本金</t>
    <rPh sb="2" eb="5">
      <t>シホンキン</t>
    </rPh>
    <phoneticPr fontId="1"/>
  </si>
  <si>
    <t>本数値が賃上げ率となりますので、
成長投資計画書（様式１）と平仄を合わせてください。
様式１と２で数値が異なる場合は、
審査が行えない可能性があります。</t>
    <phoneticPr fontId="1"/>
  </si>
  <si>
    <t>1人当たり給与支給総額上昇率
（最新決算期～基準年度）</t>
    <rPh sb="1" eb="2">
      <t>ヒト</t>
    </rPh>
    <rPh sb="2" eb="3">
      <t>ア</t>
    </rPh>
    <rPh sb="5" eb="11">
      <t>キュウヨシキュウソウガク</t>
    </rPh>
    <rPh sb="11" eb="14">
      <t>ジョウショウリツ</t>
    </rPh>
    <rPh sb="16" eb="21">
      <t>サイシンケッサンキ</t>
    </rPh>
    <rPh sb="22" eb="26">
      <t>キジュンネンド</t>
    </rPh>
    <phoneticPr fontId="1"/>
  </si>
  <si>
    <t>従業員・役員</t>
    <rPh sb="0" eb="3">
      <t>ジュウギョウイン</t>
    </rPh>
    <rPh sb="4" eb="6">
      <t>ヤクイン</t>
    </rPh>
    <phoneticPr fontId="1"/>
  </si>
  <si>
    <t>■損益計算書（P/L）項目</t>
    <rPh sb="1" eb="3">
      <t>ソンエキ</t>
    </rPh>
    <rPh sb="3" eb="6">
      <t>ケイサンショ</t>
    </rPh>
    <rPh sb="11" eb="13">
      <t>コウモク</t>
    </rPh>
    <phoneticPr fontId="1"/>
  </si>
  <si>
    <t>売上高</t>
    <phoneticPr fontId="1"/>
  </si>
  <si>
    <t>売上総利益</t>
  </si>
  <si>
    <t>営業利益</t>
  </si>
  <si>
    <t>給与支給総額（常時使用する従業員）</t>
    <rPh sb="4" eb="6">
      <t>ソウガク</t>
    </rPh>
    <phoneticPr fontId="1"/>
  </si>
  <si>
    <t>給与支給総額（役員）</t>
    <rPh sb="4" eb="6">
      <t>ソウガク</t>
    </rPh>
    <rPh sb="7" eb="9">
      <t>ヤクイン</t>
    </rPh>
    <phoneticPr fontId="1"/>
  </si>
  <si>
    <t>減価償却費</t>
    <rPh sb="0" eb="5">
      <t>ゲンカショウキャクヒ</t>
    </rPh>
    <phoneticPr fontId="1"/>
  </si>
  <si>
    <t>付加価値額（営業利益＋給与支給総額（従業員+役員）＋減価償却費）</t>
    <rPh sb="6" eb="10">
      <t>エイギョウリエキ</t>
    </rPh>
    <rPh sb="11" eb="17">
      <t>キュウヨシキュウソウガク</t>
    </rPh>
    <rPh sb="18" eb="21">
      <t>ジュウギョウイン</t>
    </rPh>
    <rPh sb="22" eb="24">
      <t>ヤクイン</t>
    </rPh>
    <rPh sb="26" eb="31">
      <t>ゲンカショウキャクヒ</t>
    </rPh>
    <phoneticPr fontId="1"/>
  </si>
  <si>
    <t>常時使用する従業員数（就業時間換算）</t>
    <rPh sb="9" eb="10">
      <t>スウ</t>
    </rPh>
    <rPh sb="11" eb="13">
      <t>シュウギョウ</t>
    </rPh>
    <rPh sb="13" eb="15">
      <t>ジカン</t>
    </rPh>
    <rPh sb="15" eb="17">
      <t>カンサン</t>
    </rPh>
    <phoneticPr fontId="1"/>
  </si>
  <si>
    <t>単位：人</t>
    <rPh sb="0" eb="2">
      <t>タンイ</t>
    </rPh>
    <rPh sb="3" eb="4">
      <t>ヒト</t>
    </rPh>
    <phoneticPr fontId="1"/>
  </si>
  <si>
    <t>役員数</t>
    <rPh sb="0" eb="3">
      <t>ヤクインスウ</t>
    </rPh>
    <phoneticPr fontId="1"/>
  </si>
  <si>
    <t>従業員1人当たり給与支給総額（給与支給総額÷就業時間換算の従業員数）</t>
    <rPh sb="15" eb="21">
      <t>キュウヨシキュウソウガク</t>
    </rPh>
    <rPh sb="22" eb="26">
      <t>シュウギョウジカン</t>
    </rPh>
    <rPh sb="26" eb="28">
      <t>カンサン</t>
    </rPh>
    <rPh sb="29" eb="32">
      <t>ジュウギョウイン</t>
    </rPh>
    <rPh sb="32" eb="33">
      <t>スウ</t>
    </rPh>
    <phoneticPr fontId="1"/>
  </si>
  <si>
    <t>従業員1人当たり給与支給総額の上昇率（就業時間換算の従業員数ベース）</t>
    <rPh sb="19" eb="21">
      <t>シュウギョウ</t>
    </rPh>
    <rPh sb="21" eb="23">
      <t>ジカン</t>
    </rPh>
    <rPh sb="23" eb="25">
      <t>カンサン</t>
    </rPh>
    <rPh sb="26" eb="29">
      <t>ジュウギョウイン</t>
    </rPh>
    <rPh sb="29" eb="30">
      <t>スウ</t>
    </rPh>
    <phoneticPr fontId="1"/>
  </si>
  <si>
    <t>単位：%</t>
    <phoneticPr fontId="1"/>
  </si>
  <si>
    <t>役員1人当たり給与支給総額（給与支給総額（役員）÷役員数）</t>
    <rPh sb="7" eb="13">
      <t>キュウヨシキュウソウガク</t>
    </rPh>
    <rPh sb="14" eb="20">
      <t>キュウヨシキュウソウガク</t>
    </rPh>
    <rPh sb="21" eb="23">
      <t>ヤクイン</t>
    </rPh>
    <rPh sb="25" eb="28">
      <t>ヤクインスウ</t>
    </rPh>
    <phoneticPr fontId="1"/>
  </si>
  <si>
    <t>役員1人当たり給与支給総額の上昇率</t>
    <rPh sb="0" eb="2">
      <t>ヤクイン</t>
    </rPh>
    <phoneticPr fontId="1"/>
  </si>
  <si>
    <t>単位：%</t>
    <rPh sb="0" eb="2">
      <t>タンイ</t>
    </rPh>
    <phoneticPr fontId="1"/>
  </si>
  <si>
    <t>労働生産性（付加価値額÷(就業時間換算の従業員数+役員数)）</t>
    <rPh sb="10" eb="11">
      <t>ガク</t>
    </rPh>
    <rPh sb="25" eb="28">
      <t>ヤクインスウ</t>
    </rPh>
    <phoneticPr fontId="1"/>
  </si>
  <si>
    <t>■投資・人材育成に係る数値</t>
    <rPh sb="1" eb="3">
      <t>トウシ</t>
    </rPh>
    <rPh sb="4" eb="6">
      <t>ジンザイ</t>
    </rPh>
    <rPh sb="6" eb="8">
      <t>イクセイ</t>
    </rPh>
    <rPh sb="9" eb="10">
      <t>カカ</t>
    </rPh>
    <rPh sb="11" eb="13">
      <t>スウチ</t>
    </rPh>
    <phoneticPr fontId="1"/>
  </si>
  <si>
    <t>設備投資額</t>
    <rPh sb="0" eb="5">
      <t>セツビトウシガク</t>
    </rPh>
    <phoneticPr fontId="1"/>
  </si>
  <si>
    <t>企業活動基本調査の定義</t>
    <rPh sb="9" eb="11">
      <t>テイギ</t>
    </rPh>
    <phoneticPr fontId="1"/>
  </si>
  <si>
    <t>参考：有形固定資産 | 定義単位項目情報 | 政府統計の総合窓口 (e-stat.go.jp)</t>
    <rPh sb="3" eb="9">
      <t>ユウケイコテイシサン</t>
    </rPh>
    <phoneticPr fontId="1"/>
  </si>
  <si>
    <t>無形固定資産投資額</t>
    <rPh sb="0" eb="9">
      <t>ムケイコテイシサントウシガク</t>
    </rPh>
    <phoneticPr fontId="1"/>
  </si>
  <si>
    <t>参考：無形固定資産｜定義単位項目情報 | 政府統計の総合窓口 (e-stat.go.jp)</t>
    <rPh sb="0" eb="2">
      <t>サンコウ</t>
    </rPh>
    <rPh sb="10" eb="12">
      <t>テイギ</t>
    </rPh>
    <rPh sb="12" eb="14">
      <t>タンイ</t>
    </rPh>
    <rPh sb="14" eb="16">
      <t>コウモク</t>
    </rPh>
    <rPh sb="16" eb="18">
      <t>ジョウホウ</t>
    </rPh>
    <rPh sb="21" eb="23">
      <t>セイフ</t>
    </rPh>
    <rPh sb="23" eb="25">
      <t>トウケイ</t>
    </rPh>
    <rPh sb="26" eb="28">
      <t>ソウゴウ</t>
    </rPh>
    <rPh sb="28" eb="30">
      <t>マドグチ</t>
    </rPh>
    <phoneticPr fontId="1"/>
  </si>
  <si>
    <t>研究開発費</t>
    <rPh sb="0" eb="5">
      <t>ケンキュウカイハツヒ</t>
    </rPh>
    <phoneticPr fontId="1"/>
  </si>
  <si>
    <t>参考：自社研究開発費 | 調査項目情報 | 政府統計の総合窓口 (e-stat.go.jp)</t>
  </si>
  <si>
    <t>能力開発費</t>
    <rPh sb="0" eb="5">
      <t>ノウリョクカイハツヒ</t>
    </rPh>
    <phoneticPr fontId="1"/>
  </si>
  <si>
    <t>参考：能力開発費 | 調査項目情報 | 政府統計の総合窓口 (e-stat.go.jp)</t>
  </si>
  <si>
    <t>■行動変容に係る数値</t>
    <rPh sb="1" eb="5">
      <t>コウドウヘンヨウ</t>
    </rPh>
    <rPh sb="6" eb="7">
      <t>カカ</t>
    </rPh>
    <rPh sb="8" eb="10">
      <t>スウチ</t>
    </rPh>
    <phoneticPr fontId="1"/>
  </si>
  <si>
    <t>年間投資額（従前の場合）</t>
    <rPh sb="0" eb="5">
      <t>ネンカントウシガク</t>
    </rPh>
    <rPh sb="6" eb="8">
      <t>ジュウゼン</t>
    </rPh>
    <rPh sb="9" eb="11">
      <t>バアイ</t>
    </rPh>
    <phoneticPr fontId="1"/>
  </si>
  <si>
    <t>単位：円</t>
    <rPh sb="0" eb="2">
      <t>タンイ</t>
    </rPh>
    <rPh sb="3" eb="4">
      <t>エン</t>
    </rPh>
    <phoneticPr fontId="1"/>
  </si>
  <si>
    <t>年間投資額（補助事業実施の場合）</t>
    <rPh sb="0" eb="5">
      <t>ネンカントウシガク</t>
    </rPh>
    <rPh sb="6" eb="12">
      <t>ホジョジギョウジッシ</t>
    </rPh>
    <rPh sb="13" eb="15">
      <t>バアイ</t>
    </rPh>
    <phoneticPr fontId="1"/>
  </si>
  <si>
    <t>従業員・役員の年間賃上げ率（従前の場合）</t>
    <rPh sb="0" eb="3">
      <t>ジュウギョウイン</t>
    </rPh>
    <rPh sb="4" eb="6">
      <t>ヤクイン</t>
    </rPh>
    <rPh sb="7" eb="11">
      <t>ネンカンチンア</t>
    </rPh>
    <rPh sb="12" eb="13">
      <t>リツ</t>
    </rPh>
    <rPh sb="14" eb="16">
      <t>ジュウゼン</t>
    </rPh>
    <rPh sb="17" eb="19">
      <t>バアイ</t>
    </rPh>
    <phoneticPr fontId="1"/>
  </si>
  <si>
    <t>従業員・役員の年間賃上げ率（補助事業実施の場合）</t>
    <rPh sb="0" eb="3">
      <t>ジュウギョウイン</t>
    </rPh>
    <rPh sb="4" eb="6">
      <t>ヤクイン</t>
    </rPh>
    <rPh sb="7" eb="11">
      <t>ネンカンチンア</t>
    </rPh>
    <rPh sb="12" eb="13">
      <t>リツ</t>
    </rPh>
    <phoneticPr fontId="1"/>
  </si>
  <si>
    <t>売上成長率（従前の場合）</t>
    <rPh sb="0" eb="5">
      <t>ウリアゲセイチョウリツ</t>
    </rPh>
    <rPh sb="6" eb="8">
      <t>ジュウゼン</t>
    </rPh>
    <rPh sb="9" eb="11">
      <t>バアイ</t>
    </rPh>
    <phoneticPr fontId="1"/>
  </si>
  <si>
    <t>売上成長率（補助事業実施の場合）</t>
    <rPh sb="0" eb="5">
      <t>ウリアゲセイチョウリツ</t>
    </rPh>
    <rPh sb="6" eb="12">
      <t>ホジョジギョウジッシ</t>
    </rPh>
    <rPh sb="13" eb="15">
      <t>バアイ</t>
    </rPh>
    <phoneticPr fontId="1"/>
  </si>
  <si>
    <t>■その他</t>
    <rPh sb="3" eb="4">
      <t>タ</t>
    </rPh>
    <phoneticPr fontId="1"/>
  </si>
  <si>
    <t>該当の場合、総合サイト（https://positive-ryouritsu.mhlw.go.jp/）より検索を行い自社の情報が記載されているウェブサイトのURLを記載してください。</t>
    <rPh sb="0" eb="2">
      <t>ガイトウ</t>
    </rPh>
    <rPh sb="3" eb="5">
      <t>バアイ</t>
    </rPh>
    <phoneticPr fontId="1"/>
  </si>
  <si>
    <t>地域未来牽引企業</t>
    <rPh sb="0" eb="2">
      <t>チイキ</t>
    </rPh>
    <rPh sb="2" eb="4">
      <t>ミライ</t>
    </rPh>
    <rPh sb="4" eb="6">
      <t>ケンイン</t>
    </rPh>
    <rPh sb="6" eb="8">
      <t>キギョウ</t>
    </rPh>
    <phoneticPr fontId="1"/>
  </si>
  <si>
    <t>リストから選択</t>
    <rPh sb="5" eb="7">
      <t>センタク</t>
    </rPh>
    <phoneticPr fontId="1"/>
  </si>
  <si>
    <t>参考：「地域未来牽引企業」（経済産業省）</t>
    <rPh sb="14" eb="19">
      <t>ケイザイサンギョウショウ</t>
    </rPh>
    <phoneticPr fontId="1"/>
  </si>
  <si>
    <t>パートナーシップ構築宣言登録企業</t>
    <rPh sb="8" eb="10">
      <t>コウチク</t>
    </rPh>
    <rPh sb="10" eb="12">
      <t>センゲン</t>
    </rPh>
    <rPh sb="12" eb="14">
      <t>トウロク</t>
    </rPh>
    <rPh sb="14" eb="16">
      <t>キギョウ</t>
    </rPh>
    <phoneticPr fontId="1"/>
  </si>
  <si>
    <t>参考：「パートナーシップ構築宣言」ポータルサイト</t>
    <phoneticPr fontId="1"/>
  </si>
  <si>
    <t>地域経済牽引事業計画</t>
    <rPh sb="0" eb="6">
      <t>チイキケイザイケンイン</t>
    </rPh>
    <rPh sb="6" eb="8">
      <t>ジギョウ</t>
    </rPh>
    <rPh sb="8" eb="10">
      <t>ケイカク</t>
    </rPh>
    <phoneticPr fontId="1"/>
  </si>
  <si>
    <t>参考：「地域未来投資促進法」 （経済産業省）</t>
    <phoneticPr fontId="1"/>
  </si>
  <si>
    <t>(URLを記入)</t>
    <rPh sb="5" eb="7">
      <t>キニュウ</t>
    </rPh>
    <phoneticPr fontId="1"/>
  </si>
  <si>
    <t>参考：「くるみんについて」（厚生労働省）</t>
    <rPh sb="0" eb="2">
      <t>サンコウ</t>
    </rPh>
    <phoneticPr fontId="1"/>
  </si>
  <si>
    <t>参考：「えるぼし認定・プラチナえるぼし認定」（厚生労働省）</t>
    <rPh sb="0" eb="2">
      <t>サンコウ</t>
    </rPh>
    <phoneticPr fontId="1"/>
  </si>
  <si>
    <t>地域企業経営人材マッチング促進事業活用企業</t>
    <rPh sb="0" eb="2">
      <t>チイキ</t>
    </rPh>
    <rPh sb="2" eb="4">
      <t>キギョウ</t>
    </rPh>
    <rPh sb="4" eb="6">
      <t>ケイエイ</t>
    </rPh>
    <rPh sb="6" eb="8">
      <t>ジンザイ</t>
    </rPh>
    <rPh sb="13" eb="15">
      <t>ソクシン</t>
    </rPh>
    <rPh sb="15" eb="17">
      <t>ジギョウ</t>
    </rPh>
    <rPh sb="17" eb="19">
      <t>カツヨウ</t>
    </rPh>
    <rPh sb="19" eb="21">
      <t>キギョウ</t>
    </rPh>
    <phoneticPr fontId="1"/>
  </si>
  <si>
    <t>参考：「地域企業経営人材マッチング促進事業」 ポータルサイト</t>
    <phoneticPr fontId="1"/>
  </si>
  <si>
    <t>全社の業種（大分類）</t>
    <rPh sb="0" eb="2">
      <t>ゼンシャ</t>
    </rPh>
    <rPh sb="3" eb="5">
      <t>ギョウシュ</t>
    </rPh>
    <rPh sb="6" eb="9">
      <t>ダイブンルイ</t>
    </rPh>
    <phoneticPr fontId="1"/>
  </si>
  <si>
    <t>全社の業種（中分類）</t>
    <rPh sb="0" eb="2">
      <t>ゼンシャ</t>
    </rPh>
    <rPh sb="3" eb="5">
      <t>ギョウシュ</t>
    </rPh>
    <rPh sb="6" eb="9">
      <t>チュウブンルイ</t>
    </rPh>
    <phoneticPr fontId="1"/>
  </si>
  <si>
    <t>全社の業種（小分類）</t>
    <rPh sb="0" eb="2">
      <t>ゼンシャ</t>
    </rPh>
    <rPh sb="3" eb="5">
      <t>ギョウシュ</t>
    </rPh>
    <rPh sb="6" eb="7">
      <t>ショウ</t>
    </rPh>
    <rPh sb="7" eb="9">
      <t>ブンルイ</t>
    </rPh>
    <phoneticPr fontId="1"/>
  </si>
  <si>
    <t>全社の業種（その他）　※大分類が「T_分類不能の産業」、小分類が「”その他の”もしくは”他に分類されない”から始まる産業」</t>
    <phoneticPr fontId="1"/>
  </si>
  <si>
    <t>記述</t>
    <rPh sb="0" eb="2">
      <t>キジュツ</t>
    </rPh>
    <phoneticPr fontId="1"/>
  </si>
  <si>
    <t>参考：日本標準産業分類（総務省）</t>
  </si>
  <si>
    <t>&lt;補助事業にかかる財務数値&gt;</t>
    <rPh sb="1" eb="3">
      <t>ホジョ</t>
    </rPh>
    <rPh sb="3" eb="5">
      <t>ジギョウ</t>
    </rPh>
    <rPh sb="9" eb="13">
      <t>ザイムスウチ</t>
    </rPh>
    <phoneticPr fontId="1"/>
  </si>
  <si>
    <t>■収支計画（補助事業における数値）</t>
    <rPh sb="1" eb="5">
      <t>シュウシケイカク</t>
    </rPh>
    <rPh sb="6" eb="8">
      <t>ホジョ</t>
    </rPh>
    <rPh sb="8" eb="10">
      <t>ジギョウ</t>
    </rPh>
    <rPh sb="14" eb="16">
      <t>スウチ</t>
    </rPh>
    <phoneticPr fontId="1"/>
  </si>
  <si>
    <t>6-1 売上高、6-2 売上総利益、6-3 営業利益、6-6 減価償却費、6-15 市場伸び率（年あたり）を入力してください。</t>
    <rPh sb="4" eb="7">
      <t>ウリアゲダカ</t>
    </rPh>
    <rPh sb="12" eb="17">
      <t>ウリアゲソウリエキ</t>
    </rPh>
    <rPh sb="22" eb="26">
      <t>エイギョウリエキ</t>
    </rPh>
    <rPh sb="31" eb="36">
      <t>ゲンカショウキャクヒ</t>
    </rPh>
    <rPh sb="42" eb="45">
      <t>シジョウノ</t>
    </rPh>
    <rPh sb="46" eb="47">
      <t>リツ</t>
    </rPh>
    <rPh sb="48" eb="49">
      <t>ネン</t>
    </rPh>
    <rPh sb="54" eb="56">
      <t>ニュウリョク</t>
    </rPh>
    <phoneticPr fontId="1"/>
  </si>
  <si>
    <t>上記以外の項目は、7 ■収支計画明細（補助事業における数値）で入力された内容が自動集計されます。</t>
    <rPh sb="0" eb="4">
      <t>ジョウキイガイ</t>
    </rPh>
    <rPh sb="5" eb="7">
      <t>コウモク</t>
    </rPh>
    <rPh sb="31" eb="33">
      <t>ニュウリョク</t>
    </rPh>
    <rPh sb="36" eb="38">
      <t>ナイヨウ</t>
    </rPh>
    <rPh sb="39" eb="41">
      <t>ジドウ</t>
    </rPh>
    <rPh sb="41" eb="43">
      <t>シュウケイ</t>
    </rPh>
    <phoneticPr fontId="1"/>
  </si>
  <si>
    <t>市場伸び率（年あたり）</t>
    <rPh sb="0" eb="2">
      <t>シジョウ</t>
    </rPh>
    <rPh sb="2" eb="3">
      <t>ノ</t>
    </rPh>
    <rPh sb="4" eb="5">
      <t>リツ</t>
    </rPh>
    <rPh sb="6" eb="7">
      <t>ネン</t>
    </rPh>
    <phoneticPr fontId="1"/>
  </si>
  <si>
    <t>成長投資計画書（２.先進性・成長性／売上向上の見込み &gt; 対象業界の市場規模の項）にて算出した年平均成長率を記入してください。</t>
  </si>
  <si>
    <t>■収支計画明細（補助事業における数値）</t>
    <rPh sb="1" eb="5">
      <t>シュウシケイカク</t>
    </rPh>
    <rPh sb="5" eb="7">
      <t>メイサイ</t>
    </rPh>
    <rPh sb="8" eb="10">
      <t>ホジョ</t>
    </rPh>
    <rPh sb="10" eb="12">
      <t>ジギョウ</t>
    </rPh>
    <rPh sb="16" eb="18">
      <t>スウチ</t>
    </rPh>
    <phoneticPr fontId="1"/>
  </si>
  <si>
    <t>1（主）</t>
    <rPh sb="2" eb="3">
      <t>シュ</t>
    </rPh>
    <phoneticPr fontId="1"/>
  </si>
  <si>
    <t>補助事業実施都道府県（主となる実施拠点）</t>
    <rPh sb="0" eb="2">
      <t>ホジョ</t>
    </rPh>
    <rPh sb="2" eb="6">
      <t>ジギョウジッシ</t>
    </rPh>
    <rPh sb="6" eb="10">
      <t>トドウフケン</t>
    </rPh>
    <rPh sb="11" eb="12">
      <t>シュ</t>
    </rPh>
    <rPh sb="15" eb="17">
      <t>ジッシ</t>
    </rPh>
    <rPh sb="17" eb="19">
      <t>キョテン</t>
    </rPh>
    <phoneticPr fontId="1"/>
  </si>
  <si>
    <t>補助事業実施都道府県（2~11拠点目）</t>
    <rPh sb="0" eb="2">
      <t>ホジョ</t>
    </rPh>
    <rPh sb="2" eb="6">
      <t>ジギョウジッシ</t>
    </rPh>
    <rPh sb="6" eb="10">
      <t>トドウフケン</t>
    </rPh>
    <rPh sb="15" eb="17">
      <t>キョテン</t>
    </rPh>
    <rPh sb="17" eb="18">
      <t>メ</t>
    </rPh>
    <phoneticPr fontId="1"/>
  </si>
  <si>
    <t>複数ある場合はリストから選択</t>
    <rPh sb="0" eb="2">
      <t>フクスウ</t>
    </rPh>
    <rPh sb="4" eb="6">
      <t>バアイ</t>
    </rPh>
    <rPh sb="12" eb="14">
      <t>センタク</t>
    </rPh>
    <phoneticPr fontId="1"/>
  </si>
  <si>
    <t>補助事業実施都道府県（12~21拠点目）</t>
    <rPh sb="0" eb="2">
      <t>ホジョ</t>
    </rPh>
    <rPh sb="2" eb="6">
      <t>ジギョウジッシ</t>
    </rPh>
    <rPh sb="6" eb="10">
      <t>トドウフケン</t>
    </rPh>
    <rPh sb="16" eb="18">
      <t>キョテン</t>
    </rPh>
    <rPh sb="18" eb="19">
      <t>メ</t>
    </rPh>
    <phoneticPr fontId="1"/>
  </si>
  <si>
    <t>補助事業実施都道府県（22~31拠点目）</t>
    <rPh sb="0" eb="2">
      <t>ホジョ</t>
    </rPh>
    <rPh sb="2" eb="6">
      <t>ジギョウジッシ</t>
    </rPh>
    <rPh sb="6" eb="10">
      <t>トドウフケン</t>
    </rPh>
    <rPh sb="16" eb="18">
      <t>キョテン</t>
    </rPh>
    <rPh sb="18" eb="19">
      <t>メ</t>
    </rPh>
    <phoneticPr fontId="1"/>
  </si>
  <si>
    <t>補助事業実施都道府県（32~41拠点目）</t>
    <rPh sb="0" eb="2">
      <t>ホジョ</t>
    </rPh>
    <rPh sb="2" eb="6">
      <t>ジギョウジッシ</t>
    </rPh>
    <rPh sb="6" eb="10">
      <t>トドウフケン</t>
    </rPh>
    <rPh sb="16" eb="18">
      <t>キョテン</t>
    </rPh>
    <rPh sb="18" eb="19">
      <t>メ</t>
    </rPh>
    <phoneticPr fontId="1"/>
  </si>
  <si>
    <t>補助事業実施都道府県（42~47拠点目）</t>
    <rPh sb="0" eb="2">
      <t>ホジョ</t>
    </rPh>
    <rPh sb="2" eb="6">
      <t>ジギョウジッシ</t>
    </rPh>
    <rPh sb="6" eb="10">
      <t>トドウフケン</t>
    </rPh>
    <rPh sb="16" eb="18">
      <t>キョテン</t>
    </rPh>
    <rPh sb="18" eb="19">
      <t>メ</t>
    </rPh>
    <phoneticPr fontId="1"/>
  </si>
  <si>
    <t>複数都道府県で補助事業を実施する場合は、都道府県毎に必要事項を記入してください。（同一都道府県で複数の補助事業を実施する場合も、都道府県毎に纏めて記入してください。）</t>
    <rPh sb="0" eb="2">
      <t>フクスウ</t>
    </rPh>
    <rPh sb="2" eb="6">
      <t>トドウフケン</t>
    </rPh>
    <rPh sb="7" eb="11">
      <t>ホジョジギョウ</t>
    </rPh>
    <rPh sb="12" eb="14">
      <t>ジッシ</t>
    </rPh>
    <rPh sb="16" eb="18">
      <t>バアイ</t>
    </rPh>
    <rPh sb="20" eb="24">
      <t>トドウフケン</t>
    </rPh>
    <rPh sb="24" eb="25">
      <t>ゴト</t>
    </rPh>
    <rPh sb="26" eb="30">
      <t>ヒツヨウジコウ</t>
    </rPh>
    <rPh sb="31" eb="33">
      <t>キニュウ</t>
    </rPh>
    <rPh sb="41" eb="43">
      <t>ドウイツ</t>
    </rPh>
    <rPh sb="43" eb="47">
      <t>トドウフケン</t>
    </rPh>
    <rPh sb="56" eb="58">
      <t>ジッシ</t>
    </rPh>
    <rPh sb="60" eb="62">
      <t>バアイ</t>
    </rPh>
    <rPh sb="64" eb="68">
      <t>トドウフケン</t>
    </rPh>
    <rPh sb="68" eb="69">
      <t>ゴト</t>
    </rPh>
    <rPh sb="70" eb="71">
      <t>マト</t>
    </rPh>
    <rPh sb="73" eb="75">
      <t>キニュウ</t>
    </rPh>
    <phoneticPr fontId="1"/>
  </si>
  <si>
    <t>主となる実施都道府県での補助事業と賃金に係る情報</t>
    <phoneticPr fontId="1"/>
  </si>
  <si>
    <t>補助事業実施都道府県</t>
    <rPh sb="0" eb="2">
      <t>ホジョ</t>
    </rPh>
    <rPh sb="2" eb="6">
      <t>ジギョウジッシ</t>
    </rPh>
    <rPh sb="6" eb="10">
      <t>トドウフケン</t>
    </rPh>
    <phoneticPr fontId="1"/>
  </si>
  <si>
    <t>補助事業の業種（大分類）</t>
    <rPh sb="0" eb="2">
      <t>ホジョ</t>
    </rPh>
    <rPh sb="2" eb="4">
      <t>ジギョウ</t>
    </rPh>
    <rPh sb="5" eb="7">
      <t>ギョウシュ</t>
    </rPh>
    <rPh sb="8" eb="11">
      <t>ダイブンルイ</t>
    </rPh>
    <phoneticPr fontId="1"/>
  </si>
  <si>
    <t>補助事業の業種（中分類）</t>
    <rPh sb="0" eb="2">
      <t>ホジョ</t>
    </rPh>
    <rPh sb="2" eb="4">
      <t>ジギョウ</t>
    </rPh>
    <rPh sb="5" eb="7">
      <t>ギョウシュ</t>
    </rPh>
    <rPh sb="8" eb="11">
      <t>チュウブンルイ</t>
    </rPh>
    <phoneticPr fontId="1"/>
  </si>
  <si>
    <t>本数値が補助事業完了年度（基準年度）～補助事業完了から3年後の年度（最終年度）の目標賃上げ率となりますので、
成長投資計画書（様式１）と平仄を合わせてください。
様式１と２で数値が異なる場合は、審査が行えない可能性があります。</t>
  </si>
  <si>
    <t>1人当たり給与支給総額上昇率</t>
    <rPh sb="1" eb="2">
      <t>ヒト</t>
    </rPh>
    <rPh sb="2" eb="3">
      <t>ア</t>
    </rPh>
    <rPh sb="5" eb="11">
      <t>キュウヨシキュウソウガク</t>
    </rPh>
    <rPh sb="11" eb="14">
      <t>ジョウショウリツ</t>
    </rPh>
    <phoneticPr fontId="1"/>
  </si>
  <si>
    <t>基準：全国平均</t>
    <rPh sb="0" eb="2">
      <t>キジュン</t>
    </rPh>
    <rPh sb="3" eb="7">
      <t>ゼンコクヘイキン</t>
    </rPh>
    <phoneticPr fontId="1"/>
  </si>
  <si>
    <t>補助事業の業種（小分類）</t>
    <rPh sb="8" eb="9">
      <t>ショウ</t>
    </rPh>
    <rPh sb="9" eb="11">
      <t>ブンルイ</t>
    </rPh>
    <phoneticPr fontId="1"/>
  </si>
  <si>
    <t>従業員</t>
    <rPh sb="0" eb="3">
      <t>ジュウギョウイン</t>
    </rPh>
    <phoneticPr fontId="1"/>
  </si>
  <si>
    <t>補助事業の業種（その他）　※大分類が「T_分類不能の産業」、小分類が「”その他の”もしくは”他に分類されない”から始まる産業」</t>
  </si>
  <si>
    <t>役員</t>
    <rPh sb="0" eb="2">
      <t>ヤクイン</t>
    </rPh>
    <phoneticPr fontId="1"/>
  </si>
  <si>
    <t>単位：人</t>
    <phoneticPr fontId="1"/>
  </si>
  <si>
    <t>2拠点目：実施都道府県での補助事業と賃金に係る情報</t>
    <phoneticPr fontId="1"/>
  </si>
  <si>
    <t>単位：人</t>
  </si>
  <si>
    <t>3拠点目：実施都道府県での補助事業と賃金に係る情報</t>
    <phoneticPr fontId="1"/>
  </si>
  <si>
    <t>4拠点目：実施都道府県での補助事業と賃金に係る情報</t>
    <phoneticPr fontId="1"/>
  </si>
  <si>
    <t>5拠点目：実施都道府県での補助事業と賃金に係る情報</t>
    <phoneticPr fontId="1"/>
  </si>
  <si>
    <t>6拠点目：実施都道府県での補助事業と賃金に係る情報</t>
    <phoneticPr fontId="1"/>
  </si>
  <si>
    <t>補助事業の業種（大分類）</t>
    <rPh sb="0" eb="2">
      <t>ホジョ</t>
    </rPh>
    <rPh sb="2" eb="4">
      <t>ジギョウ</t>
    </rPh>
    <rPh sb="4" eb="6">
      <t>ギョウシュ</t>
    </rPh>
    <rPh sb="7" eb="10">
      <t>ダイブンルイ</t>
    </rPh>
    <phoneticPr fontId="1"/>
  </si>
  <si>
    <t>7拠点目：実施都道府県での補助事業と賃金に係る情報</t>
    <phoneticPr fontId="1"/>
  </si>
  <si>
    <t>8拠点目：実施都道府県での補助事業と賃金に係る情報</t>
    <phoneticPr fontId="1"/>
  </si>
  <si>
    <t>9拠点目：実施都道府県での補助事業と賃金に係る情報</t>
    <phoneticPr fontId="1"/>
  </si>
  <si>
    <t>10拠点目：実施都道府県での補助事業と賃金に係る情報</t>
    <phoneticPr fontId="1"/>
  </si>
  <si>
    <t>11拠点目：実施都道府県での補助事業と賃金に係る情報</t>
    <phoneticPr fontId="1"/>
  </si>
  <si>
    <t>12拠点目：実施都道府県での補助事業と賃金に係る情報</t>
    <phoneticPr fontId="1"/>
  </si>
  <si>
    <t>13拠点目：実施都道府県での補助事業と賃金に係る情報</t>
    <phoneticPr fontId="1"/>
  </si>
  <si>
    <t>本数値が補助事業完了年度（基準年度）～補助事業完了から3年後の年度（最終年度）の目標賃上げ率となりますので、
成長投資計画書（様式１）と平仄を合わせてください。
様式１と２で数値が異なる場合は、審査が行えない可能性があります。</t>
    <phoneticPr fontId="1"/>
  </si>
  <si>
    <t>14拠点目：実施都道府県での補助事業と賃金に係る情報</t>
    <phoneticPr fontId="1"/>
  </si>
  <si>
    <t>15拠点目：実施都道府県での補助事業と賃金に係る情報</t>
    <phoneticPr fontId="1"/>
  </si>
  <si>
    <t>16拠点目：実施都道府県での補助事業と賃金に係る情報</t>
    <phoneticPr fontId="1"/>
  </si>
  <si>
    <t>17拠点目：実施都道府県での補助事業と賃金に係る情報</t>
    <phoneticPr fontId="1"/>
  </si>
  <si>
    <t>18拠点目：実施都道府県での補助事業と賃金に係る情報</t>
    <phoneticPr fontId="1"/>
  </si>
  <si>
    <t>19拠点目：実施都道府県での補助事業と賃金に係る情報</t>
    <phoneticPr fontId="1"/>
  </si>
  <si>
    <t>20拠点目：実施都道府県での補助事業と賃金に係る情報</t>
    <phoneticPr fontId="1"/>
  </si>
  <si>
    <t>21拠点目：実施都道府県での補助事業と賃金に係る情報</t>
    <phoneticPr fontId="1"/>
  </si>
  <si>
    <t>22拠点目：実施都道府県での補助事業と賃金に係る情報</t>
    <phoneticPr fontId="1"/>
  </si>
  <si>
    <t>23拠点目：実施都道府県での補助事業と賃金に係る情報</t>
    <phoneticPr fontId="1"/>
  </si>
  <si>
    <t>24拠点目：実施都道府県での補助事業と賃金に係る情報</t>
    <phoneticPr fontId="1"/>
  </si>
  <si>
    <t>25拠点目：実施都道府県での補助事業と賃金に係る情報</t>
    <phoneticPr fontId="1"/>
  </si>
  <si>
    <t>26拠点目：実施都道府県での補助事業と賃金に係る情報</t>
    <phoneticPr fontId="1"/>
  </si>
  <si>
    <t>27拠点目：実施都道府県での補助事業と賃金に係る情報</t>
    <phoneticPr fontId="1"/>
  </si>
  <si>
    <t>28拠点目：実施都道府県での補助事業と賃金に係る情報</t>
    <phoneticPr fontId="1"/>
  </si>
  <si>
    <t>29拠点目：実施都道府県での補助事業と賃金に係る情報</t>
    <phoneticPr fontId="1"/>
  </si>
  <si>
    <t>30拠点目：実施都道府県での補助事業と賃金に係る情報</t>
    <phoneticPr fontId="1"/>
  </si>
  <si>
    <t>31拠点目：実施都道府県での補助事業と賃金に係る情報</t>
    <phoneticPr fontId="1"/>
  </si>
  <si>
    <t>r</t>
    <phoneticPr fontId="1"/>
  </si>
  <si>
    <t>32拠点目：実施都道府県での補助事業と賃金に係る情報</t>
    <phoneticPr fontId="1"/>
  </si>
  <si>
    <t>33拠点目：実施都道府県での補助事業と賃金に係る情報</t>
    <phoneticPr fontId="1"/>
  </si>
  <si>
    <t>34拠点目：実施都道府県での補助事業と賃金に係る情報</t>
    <phoneticPr fontId="1"/>
  </si>
  <si>
    <t>35拠点目：実施都道府県での補助事業と賃金に係る情報</t>
    <phoneticPr fontId="1"/>
  </si>
  <si>
    <t>36拠点目：実施都道府県での補助事業と賃金に係る情報</t>
    <phoneticPr fontId="1"/>
  </si>
  <si>
    <t>37拠点目：実施都道府県での補助事業と賃金に係る情報</t>
    <phoneticPr fontId="1"/>
  </si>
  <si>
    <t>38拠点目：実施都道府県での補助事業と賃金に係る情報</t>
    <phoneticPr fontId="1"/>
  </si>
  <si>
    <t>39拠点目：実施都道府県での補助事業と賃金に係る情報</t>
    <phoneticPr fontId="1"/>
  </si>
  <si>
    <t>40拠点目：実施都道府県での補助事業と賃金に係る情報</t>
    <phoneticPr fontId="1"/>
  </si>
  <si>
    <t>41拠点目：実施都道府県での補助事業と賃金に係る情報</t>
    <phoneticPr fontId="1"/>
  </si>
  <si>
    <t>42拠点目：実施都道府県での補助事業と賃金に係る情報</t>
    <phoneticPr fontId="1"/>
  </si>
  <si>
    <t>43拠点目：実施都道府県での補助事業と賃金に係る情報</t>
    <phoneticPr fontId="1"/>
  </si>
  <si>
    <t>44拠点目：実施都道府県での補助事業と賃金に係る情報</t>
    <phoneticPr fontId="1"/>
  </si>
  <si>
    <t>45拠点目：実施都道府県での補助事業と賃金に係る情報</t>
    <phoneticPr fontId="1"/>
  </si>
  <si>
    <t>46拠点目：実施都道府県での補助事業と賃金に係る情報</t>
    <phoneticPr fontId="1"/>
  </si>
  <si>
    <t>47拠点目：実施都道府県での補助事業と賃金に係る情報</t>
    <phoneticPr fontId="1"/>
  </si>
  <si>
    <t>補助事業の業種（小分類）</t>
    <rPh sb="0" eb="4">
      <t>ホジョジギョウ</t>
    </rPh>
    <rPh sb="5" eb="7">
      <t>ギョウシュ</t>
    </rPh>
    <rPh sb="8" eb="9">
      <t>ショウ</t>
    </rPh>
    <rPh sb="9" eb="11">
      <t>ブンルイ</t>
    </rPh>
    <phoneticPr fontId="1"/>
  </si>
  <si>
    <t>補助事業の業種（その他）　※大分類が「T_分類不能の産業」、小分類が「”その他の”もしくは”他に分類されない”から始まる産業」</t>
    <rPh sb="0" eb="4">
      <t>ホジョジギョウ</t>
    </rPh>
    <phoneticPr fontId="1"/>
  </si>
  <si>
    <t>&lt;補足・留意事項&gt;</t>
    <rPh sb="1" eb="3">
      <t>ホソク</t>
    </rPh>
    <rPh sb="4" eb="6">
      <t>リュウイ</t>
    </rPh>
    <rPh sb="6" eb="8">
      <t>ジコウ</t>
    </rPh>
    <phoneticPr fontId="1"/>
  </si>
  <si>
    <t>従業員1人当たり給与支給総額の上昇率 及び 労働生産性は、従業員の総就業時間ベースで審査いたします。</t>
    <rPh sb="19" eb="20">
      <t>オヨ</t>
    </rPh>
    <rPh sb="29" eb="32">
      <t>ジュウギョウイン</t>
    </rPh>
    <rPh sb="33" eb="34">
      <t>ソウ</t>
    </rPh>
    <rPh sb="34" eb="36">
      <t>シュウギョウ</t>
    </rPh>
    <rPh sb="36" eb="38">
      <t>ジカン</t>
    </rPh>
    <rPh sb="42" eb="44">
      <t>シンサ</t>
    </rPh>
    <phoneticPr fontId="1"/>
  </si>
  <si>
    <t>なお、正社員は従業員数ベースでカウントし、就業時間換算はパートタイム従業者に対して適用してください。</t>
    <rPh sb="3" eb="6">
      <t>セイシャイン</t>
    </rPh>
    <rPh sb="7" eb="10">
      <t>ジュウギョウイン</t>
    </rPh>
    <rPh sb="10" eb="11">
      <t>スウ</t>
    </rPh>
    <rPh sb="21" eb="23">
      <t>シュウギョウ</t>
    </rPh>
    <rPh sb="23" eb="25">
      <t>ジカン</t>
    </rPh>
    <rPh sb="25" eb="27">
      <t>カンサン</t>
    </rPh>
    <phoneticPr fontId="1"/>
  </si>
  <si>
    <t>その場合、所定労働時間に換算するため、残業・深夜労働時間は含まず、事業者様の定時勤務時間で算出してください。</t>
  </si>
  <si>
    <t>＜就業時間換算パートタイム従業員数の考え方＞</t>
    <rPh sb="1" eb="3">
      <t>シュウギョウ</t>
    </rPh>
    <rPh sb="3" eb="5">
      <t>ジカン</t>
    </rPh>
    <rPh sb="5" eb="7">
      <t>カンサン</t>
    </rPh>
    <rPh sb="13" eb="16">
      <t>ジュウギョウイン</t>
    </rPh>
    <rPh sb="16" eb="17">
      <t>スウ</t>
    </rPh>
    <rPh sb="18" eb="19">
      <t>カンガ</t>
    </rPh>
    <rPh sb="20" eb="21">
      <t>カタ</t>
    </rPh>
    <phoneticPr fontId="1"/>
  </si>
  <si>
    <t>常用雇用者（企業に常時雇用されている者（期間を定めずに雇用されている者、１か月を超える期間を定めて雇用されている者又は</t>
    <phoneticPr fontId="1"/>
  </si>
  <si>
    <t>企業が主として給与を負担している場合は含み、そうでない場合は除く。他の企業などから派遣されている者（労働者派遣法にいう派遣労働者）は除く。）</t>
    <rPh sb="0" eb="2">
      <t>キギョウ</t>
    </rPh>
    <phoneticPr fontId="1"/>
  </si>
  <si>
    <t>のうち、１日の所定労働時間が正社員・正職員（一般に「正社員」、「正職員」などと呼ばれている者をいう。以下同じ。）よりも短い者又は１日の</t>
    <phoneticPr fontId="1"/>
  </si>
  <si>
    <t>所定労働時間が正社員・正職員と同じで１週の所定労働日数が正社員・正職員よりも少ない者のいずれかに該当する者について、全員の１週の就業時間を</t>
    <phoneticPr fontId="1"/>
  </si>
  <si>
    <t>足し合わせ、正社員・正職員の１人の就業時間で換算した人数。</t>
    <phoneticPr fontId="1"/>
  </si>
  <si>
    <t>計算式としては、「パートタイム従業者の年就業時間÷正社員1人当たり年就業時間」</t>
    <phoneticPr fontId="1"/>
  </si>
  <si>
    <t>&lt;要件の充足チェック&gt;</t>
    <rPh sb="1" eb="3">
      <t>ヨウケン</t>
    </rPh>
    <rPh sb="4" eb="6">
      <t>ジュウソク</t>
    </rPh>
    <phoneticPr fontId="1"/>
  </si>
  <si>
    <t>全ての項目が"該当"となっていることを確認してください。”非該当”がある場合は申請不備となりますので注意してください。</t>
    <rPh sb="29" eb="32">
      <t>ヒガイトウ</t>
    </rPh>
    <rPh sb="36" eb="38">
      <t>バアイ</t>
    </rPh>
    <rPh sb="39" eb="43">
      <t>シンセイフビ</t>
    </rPh>
    <rPh sb="50" eb="52">
      <t>チュウイ</t>
    </rPh>
    <phoneticPr fontId="1"/>
  </si>
  <si>
    <t>補助上限額：50億円（補助率1/3以内）　
※③経費明細書シート</t>
    <rPh sb="24" eb="29">
      <t>ケイヒメイサイショ</t>
    </rPh>
    <phoneticPr fontId="1"/>
  </si>
  <si>
    <t>補助上限額</t>
    <rPh sb="0" eb="5">
      <t>ホジョジョウゲンガク</t>
    </rPh>
    <phoneticPr fontId="1"/>
  </si>
  <si>
    <t>補助上限額：50億円（補助率1/4以内）　
※③経費明細書シート　※1/4補助率を許容する事業者のみ</t>
    <rPh sb="24" eb="29">
      <t>ケイヒメイサイショ</t>
    </rPh>
    <phoneticPr fontId="1"/>
  </si>
  <si>
    <t>補助事業期間：最長で2027年12月末まで、補助事業期間の整合性</t>
    <rPh sb="22" eb="24">
      <t>ホジョ</t>
    </rPh>
    <rPh sb="24" eb="26">
      <t>ジギョウ</t>
    </rPh>
    <rPh sb="26" eb="28">
      <t>キカン</t>
    </rPh>
    <rPh sb="29" eb="32">
      <t>セイゴウセイ</t>
    </rPh>
    <phoneticPr fontId="1"/>
  </si>
  <si>
    <t>補助事業期間</t>
    <rPh sb="0" eb="2">
      <t>ホジョ</t>
    </rPh>
    <rPh sb="2" eb="6">
      <t>ジギョウキカン</t>
    </rPh>
    <phoneticPr fontId="1"/>
  </si>
  <si>
    <t>常時使用する従業員の数が2,000人以下
※最新決算期時点で常時使用する従業員の数が0人の場合は、役員数でチェック</t>
    <rPh sb="22" eb="27">
      <t>サイシンケッサンキ</t>
    </rPh>
    <rPh sb="27" eb="29">
      <t>ジテン</t>
    </rPh>
    <rPh sb="43" eb="44">
      <t>ニン</t>
    </rPh>
    <rPh sb="45" eb="47">
      <t>バアイ</t>
    </rPh>
    <rPh sb="49" eb="52">
      <t>ヤクインスウ</t>
    </rPh>
    <phoneticPr fontId="1"/>
  </si>
  <si>
    <t>補助対象者</t>
    <rPh sb="0" eb="5">
      <t>ホジョタイショウシャ</t>
    </rPh>
    <phoneticPr fontId="1"/>
  </si>
  <si>
    <t>投資額10億円以上（専門家経費・外注費を除く補助対象経費分）
※③経費明細書シート</t>
    <phoneticPr fontId="1"/>
  </si>
  <si>
    <t>補助事業の要件</t>
    <rPh sb="0" eb="2">
      <t>ホジョ</t>
    </rPh>
    <rPh sb="2" eb="4">
      <t>ジギョウ</t>
    </rPh>
    <rPh sb="5" eb="7">
      <t>ヨウケン</t>
    </rPh>
    <phoneticPr fontId="1"/>
  </si>
  <si>
    <t>投資額5億円以上（専門家経費・外注費を除く補助対象経費分）の事業者が1者以上
※③経費明細書シート</t>
    <rPh sb="30" eb="33">
      <t>ジギョウシャ</t>
    </rPh>
    <rPh sb="35" eb="36">
      <t>シャ</t>
    </rPh>
    <rPh sb="36" eb="38">
      <t>イジョウ</t>
    </rPh>
    <phoneticPr fontId="1"/>
  </si>
  <si>
    <t>補助事業が１次産業（農業、林業、漁業）でない</t>
    <rPh sb="0" eb="2">
      <t>ホジョ</t>
    </rPh>
    <rPh sb="2" eb="4">
      <t>ジギョウ</t>
    </rPh>
    <rPh sb="6" eb="7">
      <t>ジ</t>
    </rPh>
    <rPh sb="7" eb="9">
      <t>サンギョウ</t>
    </rPh>
    <rPh sb="10" eb="12">
      <t>ノウギョウ</t>
    </rPh>
    <rPh sb="13" eb="15">
      <t>リンギョウ</t>
    </rPh>
    <rPh sb="16" eb="18">
      <t>ギョギョウ</t>
    </rPh>
    <phoneticPr fontId="1"/>
  </si>
  <si>
    <t>補助事業の終了後3年間の補助事業に関わる従業員（非常勤含む。）1人当たり給与支給</t>
    <rPh sb="12" eb="14">
      <t>ホジョ</t>
    </rPh>
    <rPh sb="24" eb="27">
      <t>ヒジョウキン</t>
    </rPh>
    <rPh sb="27" eb="28">
      <t>フク</t>
    </rPh>
    <rPh sb="38" eb="40">
      <t>シキュウ</t>
    </rPh>
    <phoneticPr fontId="1"/>
  </si>
  <si>
    <t>総額の年平均成長率が、基準率以上</t>
    <phoneticPr fontId="1"/>
  </si>
  <si>
    <t>補助事業の終了後3年間の補助事業に関わる役員1人当たり給与支給総額の年平均成長率</t>
    <rPh sb="0" eb="2">
      <t>ホジョ</t>
    </rPh>
    <rPh sb="2" eb="4">
      <t>ジギョウ</t>
    </rPh>
    <rPh sb="5" eb="7">
      <t>シュウリョウ</t>
    </rPh>
    <rPh sb="7" eb="8">
      <t>ゴ</t>
    </rPh>
    <rPh sb="9" eb="11">
      <t>ネンカン</t>
    </rPh>
    <rPh sb="12" eb="14">
      <t>ホジョ</t>
    </rPh>
    <rPh sb="14" eb="16">
      <t>ジギョウ</t>
    </rPh>
    <rPh sb="17" eb="18">
      <t>カカ</t>
    </rPh>
    <rPh sb="20" eb="22">
      <t>ヤクイン</t>
    </rPh>
    <rPh sb="23" eb="24">
      <t>ニン</t>
    </rPh>
    <rPh sb="24" eb="25">
      <t>ア</t>
    </rPh>
    <rPh sb="27" eb="29">
      <t>キュウヨ</t>
    </rPh>
    <rPh sb="29" eb="31">
      <t>シキュウ</t>
    </rPh>
    <rPh sb="31" eb="33">
      <t>ソウガク</t>
    </rPh>
    <rPh sb="34" eb="37">
      <t>ネンヘイキン</t>
    </rPh>
    <rPh sb="37" eb="40">
      <t>セイチョウリツ</t>
    </rPh>
    <phoneticPr fontId="1"/>
  </si>
  <si>
    <t>が、基準率以上</t>
    <phoneticPr fontId="1"/>
  </si>
  <si>
    <t>1人当たり給与支給総額の年平均成長率が、従業員（#8）・役員（#9）とも基準率以上
（従業員もしくは役員が0人の場合は、いずれかが基準率以上）</t>
    <rPh sb="43" eb="46">
      <t>ジュウギョウイン</t>
    </rPh>
    <rPh sb="50" eb="52">
      <t>ヤクイン</t>
    </rPh>
    <rPh sb="54" eb="55">
      <t>ニン</t>
    </rPh>
    <rPh sb="56" eb="58">
      <t>バアイ</t>
    </rPh>
    <rPh sb="65" eb="68">
      <t>キジュンリツ</t>
    </rPh>
    <rPh sb="68" eb="70">
      <t>イジョウ</t>
    </rPh>
    <phoneticPr fontId="1"/>
  </si>
  <si>
    <t>「外注費、専門家経費」の合計が「建物費、機械装置費、ソフトウェア費」の合計未満
※③経費明細書シート</t>
    <rPh sb="1" eb="4">
      <t>ガイチュウヒ</t>
    </rPh>
    <rPh sb="12" eb="14">
      <t>ゴウケイ</t>
    </rPh>
    <rPh sb="16" eb="19">
      <t>タテモノヒ</t>
    </rPh>
    <rPh sb="20" eb="24">
      <t>キカイソウチ</t>
    </rPh>
    <rPh sb="24" eb="25">
      <t>ヒ</t>
    </rPh>
    <rPh sb="32" eb="33">
      <t>ヒ</t>
    </rPh>
    <rPh sb="35" eb="37">
      <t>ゴウケイ</t>
    </rPh>
    <rPh sb="37" eb="39">
      <t>ミマン</t>
    </rPh>
    <phoneticPr fontId="1"/>
  </si>
  <si>
    <t>補助対象経費</t>
    <rPh sb="0" eb="6">
      <t>ホジョタイショウケイヒ</t>
    </rPh>
    <phoneticPr fontId="1"/>
  </si>
  <si>
    <t>従業員の1人当たり給与支給総額：基準年度≧最新決算期</t>
    <rPh sb="16" eb="20">
      <t>キジュンネンド</t>
    </rPh>
    <rPh sb="21" eb="26">
      <t>サイシンケッサンキ</t>
    </rPh>
    <phoneticPr fontId="1"/>
  </si>
  <si>
    <t>役員の１人当たり給与支給総額：基準年度≧最新決算期</t>
    <rPh sb="15" eb="19">
      <t>キジュンネンド</t>
    </rPh>
    <rPh sb="20" eb="25">
      <t>サイシンケッサンキ</t>
    </rPh>
    <phoneticPr fontId="1"/>
  </si>
  <si>
    <t>補助事業の要件</t>
    <rPh sb="0" eb="4">
      <t>ホジョジギョウ</t>
    </rPh>
    <rPh sb="5" eb="7">
      <t>ヨウケン</t>
    </rPh>
    <phoneticPr fontId="1"/>
  </si>
  <si>
    <t>1（主）</t>
  </si>
  <si>
    <t>#</t>
    <phoneticPr fontId="1"/>
  </si>
  <si>
    <t>(3)最新決算期末日：日付形式で入力</t>
    <rPh sb="13" eb="15">
      <t>ケイシキ</t>
    </rPh>
    <rPh sb="16" eb="18">
      <t>ニュウリョク</t>
    </rPh>
    <phoneticPr fontId="1"/>
  </si>
  <si>
    <t>(4)補助事業完了日：2027年12月末まで、(3)最新決算期末日＜(4)補助事業完了日</t>
    <rPh sb="15" eb="16">
      <t>ネン</t>
    </rPh>
    <rPh sb="18" eb="19">
      <t>ガツ</t>
    </rPh>
    <rPh sb="19" eb="20">
      <t>マツ</t>
    </rPh>
    <phoneticPr fontId="1"/>
  </si>
  <si>
    <t>(5)補助事業完了日を含む事業年度：
　正しい事業年度を選択（G12~Q12のいずれかと一致）、
　(4)補助事業完了日より未来日を選択、(4)補助事業完了日から1年以内の年度を選択</t>
  </si>
  <si>
    <t>2-8_常時使用する従業員数（就業時間換算）：
　事業化報告3年目まで入力必須（0の場合は0を明示的に入力）、半角数字で入力</t>
    <rPh sb="55" eb="59">
      <t>ハンカクスウジ</t>
    </rPh>
    <rPh sb="60" eb="62">
      <t>ニュウリョク</t>
    </rPh>
    <phoneticPr fontId="1"/>
  </si>
  <si>
    <t>2-9_役員数：
　事業化報告3年目まで入力必須（0の場合は0を明示的に入力）、半角数字で入力</t>
    <rPh sb="40" eb="44">
      <t>ハンカクスウジ</t>
    </rPh>
    <rPh sb="45" eb="47">
      <t>ニュウリョク</t>
    </rPh>
    <phoneticPr fontId="1"/>
  </si>
  <si>
    <t>6-1,6-2_補助事業実施都道府県が重複しない</t>
    <rPh sb="19" eb="21">
      <t>チョウフク</t>
    </rPh>
    <phoneticPr fontId="1"/>
  </si>
  <si>
    <t>補助上限額：50億円以内</t>
    <rPh sb="8" eb="10">
      <t>オクエン</t>
    </rPh>
    <rPh sb="10" eb="12">
      <t>イナイ</t>
    </rPh>
    <phoneticPr fontId="1"/>
  </si>
  <si>
    <t>補助率：1/3以内</t>
    <rPh sb="2" eb="3">
      <t>リツ</t>
    </rPh>
    <rPh sb="7" eb="9">
      <t>イナイ</t>
    </rPh>
    <phoneticPr fontId="1"/>
  </si>
  <si>
    <t>補助率：1/4以内　※1/4補助率を許容する事業者のみ</t>
    <rPh sb="2" eb="3">
      <t>リツ</t>
    </rPh>
    <rPh sb="7" eb="9">
      <t>イナイ</t>
    </rPh>
    <rPh sb="22" eb="25">
      <t>ジギョウシャ</t>
    </rPh>
    <phoneticPr fontId="1"/>
  </si>
  <si>
    <t>（A）事業に要する経費 ≧ （B）補助対象経費 ≧ （C）補助金交付申請額</t>
    <phoneticPr fontId="1"/>
  </si>
  <si>
    <t>事務局確認用（入力チェック）</t>
    <rPh sb="0" eb="3">
      <t>ジムキョク</t>
    </rPh>
    <rPh sb="3" eb="6">
      <t>カクニンヨウ</t>
    </rPh>
    <rPh sb="7" eb="9">
      <t>ニュウリョク</t>
    </rPh>
    <phoneticPr fontId="1"/>
  </si>
  <si>
    <t>2-4_給与支給総額（常時使用する従業員）≧6-4_給与支給総額（常時使用する従業員）</t>
    <rPh sb="4" eb="6">
      <t>キュウヨ</t>
    </rPh>
    <rPh sb="6" eb="8">
      <t>シキュウ</t>
    </rPh>
    <rPh sb="8" eb="10">
      <t>ソウガク</t>
    </rPh>
    <rPh sb="11" eb="13">
      <t>ジョウジ</t>
    </rPh>
    <rPh sb="13" eb="15">
      <t>シヨウ</t>
    </rPh>
    <rPh sb="17" eb="20">
      <t>ジュウギョウイン</t>
    </rPh>
    <rPh sb="26" eb="28">
      <t>キュウヨ</t>
    </rPh>
    <rPh sb="28" eb="30">
      <t>シキュウ</t>
    </rPh>
    <rPh sb="30" eb="32">
      <t>ソウガク</t>
    </rPh>
    <rPh sb="33" eb="35">
      <t>ジョウジ</t>
    </rPh>
    <rPh sb="35" eb="37">
      <t>シヨウ</t>
    </rPh>
    <rPh sb="39" eb="42">
      <t>ジュウギョウイン</t>
    </rPh>
    <phoneticPr fontId="1"/>
  </si>
  <si>
    <t>2-8_常時使用する従業員数（就業時間換算）≧6-8_常時使用する従業員数（就業時間換算）</t>
    <phoneticPr fontId="1"/>
  </si>
  <si>
    <t>2-5_給与支給総額（役員）≧6-5_給与支給総額（役員）</t>
    <phoneticPr fontId="1"/>
  </si>
  <si>
    <t>2-9_役員数 ≧ 6-9_役員数</t>
    <phoneticPr fontId="1"/>
  </si>
  <si>
    <t>■経費明細書</t>
    <rPh sb="1" eb="6">
      <t>ケイヒメイサイショ</t>
    </rPh>
    <phoneticPr fontId="1"/>
  </si>
  <si>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1"/>
  </si>
  <si>
    <t>　※経費明細書は当該期間に必要な経費を記載してください（補助事業1年目：交付決定日～翌年3月31日、補助事業2年目：4月1日～翌年3月31日、補助事業3年目：4月1日～12月31日）。</t>
    <rPh sb="2" eb="7">
      <t>ケイヒメイサイショ</t>
    </rPh>
    <rPh sb="8" eb="10">
      <t>トウガイ</t>
    </rPh>
    <rPh sb="10" eb="12">
      <t>キカン</t>
    </rPh>
    <rPh sb="28" eb="30">
      <t>ホジョ</t>
    </rPh>
    <rPh sb="30" eb="32">
      <t>ジギョウ</t>
    </rPh>
    <rPh sb="33" eb="35">
      <t>ネンメ</t>
    </rPh>
    <rPh sb="42" eb="44">
      <t>ヨクネン</t>
    </rPh>
    <rPh sb="50" eb="54">
      <t>ホジョジギョウ</t>
    </rPh>
    <rPh sb="55" eb="56">
      <t>ネン</t>
    </rPh>
    <rPh sb="56" eb="57">
      <t>メ</t>
    </rPh>
    <rPh sb="59" eb="60">
      <t>ガツ</t>
    </rPh>
    <rPh sb="61" eb="62">
      <t>ヒ</t>
    </rPh>
    <rPh sb="63" eb="64">
      <t>ヨク</t>
    </rPh>
    <rPh sb="64" eb="65">
      <t>ネン</t>
    </rPh>
    <rPh sb="66" eb="67">
      <t>ガツ</t>
    </rPh>
    <rPh sb="69" eb="70">
      <t>ヒ</t>
    </rPh>
    <rPh sb="71" eb="75">
      <t>ホジョジギョウ</t>
    </rPh>
    <rPh sb="76" eb="78">
      <t>ネンメ</t>
    </rPh>
    <rPh sb="80" eb="81">
      <t>ガツ</t>
    </rPh>
    <rPh sb="82" eb="83">
      <t>ヒ</t>
    </rPh>
    <rPh sb="86" eb="87">
      <t>ガツ</t>
    </rPh>
    <rPh sb="89" eb="90">
      <t>ヒ</t>
    </rPh>
    <phoneticPr fontId="1"/>
  </si>
  <si>
    <t>　※各年度ごとの（C）補助金交付申請額が、年度毎に支払われる補助金額の上限となります。</t>
    <rPh sb="2" eb="5">
      <t>カクネンド</t>
    </rPh>
    <rPh sb="11" eb="19">
      <t>ホジョキンコウフシンセイガク</t>
    </rPh>
    <rPh sb="21" eb="23">
      <t>ネンド</t>
    </rPh>
    <rPh sb="23" eb="24">
      <t>ゴト</t>
    </rPh>
    <rPh sb="25" eb="27">
      <t>シハラ</t>
    </rPh>
    <rPh sb="30" eb="33">
      <t>ホジョキン</t>
    </rPh>
    <rPh sb="33" eb="34">
      <t>ガク</t>
    </rPh>
    <rPh sb="35" eb="37">
      <t>ジョウゲン</t>
    </rPh>
    <phoneticPr fontId="1"/>
  </si>
  <si>
    <t>・投資額が10億円以上（専門家経費・外注費を除く（B）補助対象経費分）になるように記載してください。</t>
    <phoneticPr fontId="1"/>
  </si>
  <si>
    <t>・（C-1）補助金交付申請額は、50億円以内、かつ（B）補助対象経費の1/3以内で入力してください。</t>
    <rPh sb="6" eb="9">
      <t>ホジョキン</t>
    </rPh>
    <rPh sb="9" eb="11">
      <t>コウフ</t>
    </rPh>
    <rPh sb="11" eb="14">
      <t>シンセイガク</t>
    </rPh>
    <rPh sb="18" eb="20">
      <t>オクエン</t>
    </rPh>
    <rPh sb="20" eb="22">
      <t>イナイ</t>
    </rPh>
    <rPh sb="28" eb="34">
      <t>ホジョタイショウケイヒ</t>
    </rPh>
    <rPh sb="38" eb="40">
      <t>イナイ</t>
    </rPh>
    <rPh sb="41" eb="43">
      <t>ニュウリョク</t>
    </rPh>
    <phoneticPr fontId="1"/>
  </si>
  <si>
    <t>　※①申請者情報シートで『補助率1/4を許容する』を選択した場合は、（C-2）補助金交付申請額は、50億円以内、かつ（B）補助対象経費の1/4以内で入力してください。</t>
    <rPh sb="3" eb="6">
      <t>シンセイシャ</t>
    </rPh>
    <rPh sb="6" eb="8">
      <t>ジョウホウ</t>
    </rPh>
    <rPh sb="13" eb="16">
      <t>ホジョリツ</t>
    </rPh>
    <rPh sb="20" eb="22">
      <t>キョヨウ</t>
    </rPh>
    <rPh sb="26" eb="28">
      <t>センタク</t>
    </rPh>
    <rPh sb="30" eb="32">
      <t>バアイ</t>
    </rPh>
    <rPh sb="74" eb="76">
      <t>ニュウリョク</t>
    </rPh>
    <phoneticPr fontId="1"/>
  </si>
  <si>
    <t>&lt;事業者毎の経費明細&gt;</t>
    <rPh sb="1" eb="4">
      <t>ジギョウシャ</t>
    </rPh>
    <rPh sb="4" eb="5">
      <t>ゴト</t>
    </rPh>
    <rPh sb="6" eb="8">
      <t>ケイヒ</t>
    </rPh>
    <rPh sb="8" eb="10">
      <t>メイサイ</t>
    </rPh>
    <phoneticPr fontId="1"/>
  </si>
  <si>
    <t>（金額単位：円）</t>
    <phoneticPr fontId="1"/>
  </si>
  <si>
    <t>経費区分</t>
    <rPh sb="0" eb="2">
      <t>ケイヒ</t>
    </rPh>
    <rPh sb="2" eb="4">
      <t>クブン</t>
    </rPh>
    <phoneticPr fontId="1"/>
  </si>
  <si>
    <t>事業期間</t>
    <rPh sb="0" eb="4">
      <t>ジギョウキカン</t>
    </rPh>
    <phoneticPr fontId="1"/>
  </si>
  <si>
    <t>（A）事業に要する経費
（税抜き）</t>
    <rPh sb="3" eb="5">
      <t>ジギョウ</t>
    </rPh>
    <rPh sb="6" eb="7">
      <t>ヨウ</t>
    </rPh>
    <rPh sb="9" eb="11">
      <t>ケイヒ</t>
    </rPh>
    <phoneticPr fontId="1"/>
  </si>
  <si>
    <t>（B）補助対象経費
（税抜き）</t>
    <rPh sb="3" eb="9">
      <t>ホジョタイショウケイヒ</t>
    </rPh>
    <rPh sb="11" eb="13">
      <t>ゼイヌ</t>
    </rPh>
    <phoneticPr fontId="1"/>
  </si>
  <si>
    <t>（C-1）補助金交付申請額
※1/3補助率の場合</t>
    <rPh sb="5" eb="8">
      <t>ホジョキン</t>
    </rPh>
    <rPh sb="8" eb="10">
      <t>コウフ</t>
    </rPh>
    <rPh sb="10" eb="12">
      <t>シンセイ</t>
    </rPh>
    <rPh sb="12" eb="13">
      <t>ガク</t>
    </rPh>
    <rPh sb="18" eb="21">
      <t>ホジョリツ</t>
    </rPh>
    <rPh sb="22" eb="24">
      <t>バアイ</t>
    </rPh>
    <phoneticPr fontId="1"/>
  </si>
  <si>
    <t>（C-2）補助金交付申請額
※1/4補助率の場合</t>
    <rPh sb="5" eb="8">
      <t>ホジョキン</t>
    </rPh>
    <rPh sb="8" eb="10">
      <t>コウフ</t>
    </rPh>
    <rPh sb="10" eb="12">
      <t>シンセイ</t>
    </rPh>
    <rPh sb="12" eb="13">
      <t>ガク</t>
    </rPh>
    <rPh sb="18" eb="21">
      <t>ホジョリツ</t>
    </rPh>
    <rPh sb="22" eb="24">
      <t>バアイ</t>
    </rPh>
    <phoneticPr fontId="1"/>
  </si>
  <si>
    <t>（D）積算基礎
※（B）の内訳（機械装置名、単価×数量等）</t>
    <rPh sb="3" eb="7">
      <t>セキサンキソ</t>
    </rPh>
    <rPh sb="13" eb="15">
      <t>ウチワケ</t>
    </rPh>
    <rPh sb="16" eb="21">
      <t>キカイソウチメイ</t>
    </rPh>
    <rPh sb="22" eb="24">
      <t>タンカ</t>
    </rPh>
    <rPh sb="25" eb="27">
      <t>スウリョウ</t>
    </rPh>
    <rPh sb="27" eb="28">
      <t>トウ</t>
    </rPh>
    <phoneticPr fontId="1"/>
  </si>
  <si>
    <t>建物費</t>
    <rPh sb="0" eb="2">
      <t>タテモノ</t>
    </rPh>
    <rPh sb="2" eb="3">
      <t>ヒ</t>
    </rPh>
    <phoneticPr fontId="1"/>
  </si>
  <si>
    <t>補助事業１年目</t>
    <rPh sb="0" eb="4">
      <t>ホジョジギョウ</t>
    </rPh>
    <phoneticPr fontId="1"/>
  </si>
  <si>
    <t>交付決定日～2026年3月31日</t>
    <rPh sb="0" eb="5">
      <t>コウフケッテイビ</t>
    </rPh>
    <rPh sb="10" eb="11">
      <t>ネン</t>
    </rPh>
    <rPh sb="12" eb="13">
      <t>ガツ</t>
    </rPh>
    <rPh sb="15" eb="16">
      <t>ニチ</t>
    </rPh>
    <phoneticPr fontId="1"/>
  </si>
  <si>
    <t>補助事業２年目</t>
    <rPh sb="0" eb="4">
      <t>ホジョジギョウ</t>
    </rPh>
    <phoneticPr fontId="1"/>
  </si>
  <si>
    <t>2026年4月1日～2027年3月31日</t>
    <rPh sb="4" eb="5">
      <t>ネン</t>
    </rPh>
    <rPh sb="6" eb="7">
      <t>ガツ</t>
    </rPh>
    <rPh sb="7" eb="9">
      <t>ツイタチ</t>
    </rPh>
    <rPh sb="14" eb="15">
      <t>ネン</t>
    </rPh>
    <rPh sb="16" eb="17">
      <t>ガツ</t>
    </rPh>
    <rPh sb="19" eb="20">
      <t>ニチ</t>
    </rPh>
    <phoneticPr fontId="1"/>
  </si>
  <si>
    <t>補助事業３年目</t>
    <rPh sb="0" eb="4">
      <t>ホジョジギョウ</t>
    </rPh>
    <phoneticPr fontId="1"/>
  </si>
  <si>
    <t>2027年4月1日～2027年12月31日</t>
    <rPh sb="4" eb="5">
      <t>ネン</t>
    </rPh>
    <rPh sb="6" eb="7">
      <t>ガツ</t>
    </rPh>
    <rPh sb="7" eb="9">
      <t>ツイタチ</t>
    </rPh>
    <rPh sb="14" eb="15">
      <t>ネン</t>
    </rPh>
    <rPh sb="17" eb="18">
      <t>ガツ</t>
    </rPh>
    <rPh sb="20" eb="21">
      <t>ニチ</t>
    </rPh>
    <phoneticPr fontId="1"/>
  </si>
  <si>
    <t>補助事業 合計</t>
    <rPh sb="0" eb="4">
      <t>ホジョジギョウ</t>
    </rPh>
    <rPh sb="5" eb="7">
      <t>ゴウケイ</t>
    </rPh>
    <phoneticPr fontId="1"/>
  </si>
  <si>
    <t>交付決定日～補助事業完了日</t>
    <rPh sb="0" eb="5">
      <t>コウフケッテイビ</t>
    </rPh>
    <rPh sb="6" eb="10">
      <t>ホジョジギョウ</t>
    </rPh>
    <rPh sb="10" eb="13">
      <t>カンリョウビ</t>
    </rPh>
    <phoneticPr fontId="1"/>
  </si>
  <si>
    <t>機械装置費</t>
    <rPh sb="0" eb="4">
      <t>キカイソウチ</t>
    </rPh>
    <rPh sb="4" eb="5">
      <t>ヒ</t>
    </rPh>
    <phoneticPr fontId="1"/>
  </si>
  <si>
    <t>ソフトウェア費</t>
    <rPh sb="6" eb="7">
      <t>ヒ</t>
    </rPh>
    <phoneticPr fontId="1"/>
  </si>
  <si>
    <t>外注費</t>
    <rPh sb="0" eb="3">
      <t>ガイチュウヒ</t>
    </rPh>
    <phoneticPr fontId="1"/>
  </si>
  <si>
    <t>専門家経費</t>
    <rPh sb="0" eb="5">
      <t>センモンカケイヒ</t>
    </rPh>
    <phoneticPr fontId="1"/>
  </si>
  <si>
    <t>合計</t>
    <rPh sb="0" eb="2">
      <t>ゴウケイ</t>
    </rPh>
    <phoneticPr fontId="1"/>
  </si>
  <si>
    <t>&lt;経費明細 合計&gt;</t>
    <rPh sb="1" eb="3">
      <t>ケイヒ</t>
    </rPh>
    <rPh sb="3" eb="5">
      <t>メイサイ</t>
    </rPh>
    <rPh sb="6" eb="8">
      <t>ゴウケイ</t>
    </rPh>
    <phoneticPr fontId="1"/>
  </si>
  <si>
    <t>投資額</t>
    <rPh sb="0" eb="3">
      <t>トウシガク</t>
    </rPh>
    <phoneticPr fontId="1"/>
  </si>
  <si>
    <t>事務局確認用（要件の充足チェック）</t>
    <rPh sb="0" eb="3">
      <t>ジムキョク</t>
    </rPh>
    <rPh sb="3" eb="6">
      <t>カクニンヨウ</t>
    </rPh>
    <rPh sb="7" eb="9">
      <t>ヨウケン</t>
    </rPh>
    <rPh sb="10" eb="12">
      <t>ジュウソク</t>
    </rPh>
    <phoneticPr fontId="1"/>
  </si>
  <si>
    <t>投資額（1者で5億円以上の事業者）</t>
    <rPh sb="0" eb="3">
      <t>トウシガク</t>
    </rPh>
    <rPh sb="5" eb="6">
      <t>シャ</t>
    </rPh>
    <rPh sb="8" eb="12">
      <t>オクエンイジョウ</t>
    </rPh>
    <rPh sb="13" eb="16">
      <t>ジギョウシャ</t>
    </rPh>
    <phoneticPr fontId="1"/>
  </si>
  <si>
    <t>事業者１</t>
    <rPh sb="0" eb="3">
      <t>ジギョウシャ</t>
    </rPh>
    <phoneticPr fontId="1"/>
  </si>
  <si>
    <t>事業者２</t>
    <rPh sb="0" eb="3">
      <t>ジギョウシャ</t>
    </rPh>
    <phoneticPr fontId="1"/>
  </si>
  <si>
    <t>事業者３</t>
    <rPh sb="0" eb="3">
      <t>ジギョウシャ</t>
    </rPh>
    <phoneticPr fontId="1"/>
  </si>
  <si>
    <t>事業者４</t>
    <rPh sb="0" eb="3">
      <t>ジギョウシャ</t>
    </rPh>
    <phoneticPr fontId="1"/>
  </si>
  <si>
    <t>事業者５</t>
    <rPh sb="0" eb="3">
      <t>ジギョウシャ</t>
    </rPh>
    <phoneticPr fontId="1"/>
  </si>
  <si>
    <t>事業者６</t>
    <rPh sb="0" eb="3">
      <t>ジギョウシャ</t>
    </rPh>
    <phoneticPr fontId="1"/>
  </si>
  <si>
    <t>事業者７</t>
    <rPh sb="0" eb="3">
      <t>ジギョウシャ</t>
    </rPh>
    <phoneticPr fontId="1"/>
  </si>
  <si>
    <t>事業者８</t>
    <rPh sb="0" eb="3">
      <t>ジギョウシャ</t>
    </rPh>
    <phoneticPr fontId="1"/>
  </si>
  <si>
    <t>事業者９</t>
    <rPh sb="0" eb="3">
      <t>ジギョウシャ</t>
    </rPh>
    <phoneticPr fontId="1"/>
  </si>
  <si>
    <t>事業者１０</t>
    <rPh sb="0" eb="3">
      <t>ジギョウシャ</t>
    </rPh>
    <phoneticPr fontId="1"/>
  </si>
  <si>
    <t>計</t>
    <rPh sb="0" eb="1">
      <t>ケイ</t>
    </rPh>
    <phoneticPr fontId="1"/>
  </si>
  <si>
    <t>大分類</t>
    <rPh sb="0" eb="3">
      <t>ダイブンルイ</t>
    </rPh>
    <phoneticPr fontId="2"/>
  </si>
  <si>
    <t>中分類</t>
    <rPh sb="0" eb="3">
      <t>チュウブンルイ</t>
    </rPh>
    <phoneticPr fontId="2"/>
  </si>
  <si>
    <t>小分類</t>
    <rPh sb="0" eb="3">
      <t>ショウブンルイ</t>
    </rPh>
    <phoneticPr fontId="2"/>
  </si>
  <si>
    <t>A_農業・林業</t>
    <phoneticPr fontId="1"/>
  </si>
  <si>
    <t>B_漁業</t>
    <phoneticPr fontId="1"/>
  </si>
  <si>
    <t>C_鉱業・採石業・砂利採取業</t>
    <phoneticPr fontId="1"/>
  </si>
  <si>
    <t>D_建設業</t>
    <phoneticPr fontId="1"/>
  </si>
  <si>
    <t>E_製造業</t>
    <phoneticPr fontId="1"/>
  </si>
  <si>
    <t>F_電気・ガス・熱供給・水道業</t>
    <phoneticPr fontId="1"/>
  </si>
  <si>
    <t>G_情報通信業</t>
    <phoneticPr fontId="1"/>
  </si>
  <si>
    <t>H_運輸業・郵便業</t>
    <phoneticPr fontId="1"/>
  </si>
  <si>
    <t>I_卸売業・小売業</t>
    <phoneticPr fontId="1"/>
  </si>
  <si>
    <t>J_金融業・保険業</t>
    <phoneticPr fontId="1"/>
  </si>
  <si>
    <t>K_不動産業・物品賃貸業</t>
    <phoneticPr fontId="1"/>
  </si>
  <si>
    <t>L_学術研究・専門・技術サービス業</t>
    <phoneticPr fontId="1"/>
  </si>
  <si>
    <t>M_宿泊業・飲食サービス業</t>
    <phoneticPr fontId="1"/>
  </si>
  <si>
    <t>N_生活関連サービス業・娯楽業</t>
    <phoneticPr fontId="1"/>
  </si>
  <si>
    <t>O_教育・学習支援業</t>
    <phoneticPr fontId="1"/>
  </si>
  <si>
    <t>P_医療・福祉</t>
    <phoneticPr fontId="1"/>
  </si>
  <si>
    <t>Q_複合サービス事業</t>
    <phoneticPr fontId="1"/>
  </si>
  <si>
    <t>R_サービス業_他に分類されないもの</t>
    <phoneticPr fontId="1"/>
  </si>
  <si>
    <t>S_公務_他に分類されるものを除く</t>
    <phoneticPr fontId="1"/>
  </si>
  <si>
    <t>T_分類不能の産業</t>
    <phoneticPr fontId="1"/>
  </si>
  <si>
    <t>01_農業</t>
  </si>
  <si>
    <t>010_管理，補助的経済活動を行う事業所</t>
  </si>
  <si>
    <t>03_漁業_水産養殖業を除く</t>
    <phoneticPr fontId="1"/>
  </si>
  <si>
    <t>05_鉱業・採石業・砂利採取業</t>
    <phoneticPr fontId="1"/>
  </si>
  <si>
    <t>06_総合工事業</t>
  </si>
  <si>
    <t>09_食料品製造業</t>
  </si>
  <si>
    <t>33_電気業</t>
  </si>
  <si>
    <t>37_通信業</t>
  </si>
  <si>
    <t>42_鉄道業</t>
  </si>
  <si>
    <t>50_各種商品卸売業</t>
  </si>
  <si>
    <t>62_銀行業</t>
  </si>
  <si>
    <t>68_不動産取引業</t>
  </si>
  <si>
    <t>71_学術・開発研究機関</t>
  </si>
  <si>
    <t>75_宿泊業</t>
  </si>
  <si>
    <t>78_洗濯・理容・美容・浴場業</t>
  </si>
  <si>
    <t>81_学校教育</t>
  </si>
  <si>
    <t>83_医療業</t>
  </si>
  <si>
    <t>86_郵便局</t>
  </si>
  <si>
    <t>88_廃棄物処理業</t>
  </si>
  <si>
    <t>97_国家公務</t>
  </si>
  <si>
    <t>99_分類不能の産業</t>
  </si>
  <si>
    <t>011_耕種農業</t>
  </si>
  <si>
    <t>02_林業</t>
  </si>
  <si>
    <t>04_水産養殖業</t>
  </si>
  <si>
    <t>07_職別工事業_設備工事業を除く</t>
    <phoneticPr fontId="1"/>
  </si>
  <si>
    <t>10_飲料・たばこ・飼料製造業</t>
  </si>
  <si>
    <t>34_ガス業</t>
  </si>
  <si>
    <t>38_放送業</t>
  </si>
  <si>
    <t>43_道路旅客運送業</t>
  </si>
  <si>
    <t>51_繊維・衣服等卸売業</t>
  </si>
  <si>
    <t>63_協同組織金融業</t>
  </si>
  <si>
    <t>69_不動産賃貸業・管理業</t>
  </si>
  <si>
    <t>72_専門サービス業_他に分類されないもの</t>
  </si>
  <si>
    <t>76_飲食店</t>
  </si>
  <si>
    <t>79_その他の生活関連サービス業</t>
  </si>
  <si>
    <t>82_その他の教育・学習支援業</t>
    <phoneticPr fontId="1"/>
  </si>
  <si>
    <t>84_保健衛生</t>
  </si>
  <si>
    <t>87_協同組合_他に分類されないもの</t>
  </si>
  <si>
    <t>89_自動車整備業</t>
  </si>
  <si>
    <t>98_地方公務</t>
  </si>
  <si>
    <t>012_畜産農業</t>
  </si>
  <si>
    <t>08_設備工事業</t>
  </si>
  <si>
    <t>11_繊維工業</t>
  </si>
  <si>
    <t>35_熱供給業</t>
  </si>
  <si>
    <t>39_情報サービス業</t>
  </si>
  <si>
    <t>44_道路貨物運送業</t>
  </si>
  <si>
    <t>52_飲食料品卸売業</t>
  </si>
  <si>
    <t>64_貸金業・クレジットカード業等非預金信用機関</t>
    <phoneticPr fontId="1"/>
  </si>
  <si>
    <t>70_物品賃貸業</t>
  </si>
  <si>
    <t>73_広告業</t>
  </si>
  <si>
    <t>77_持ち帰り・配達飲食サービス業</t>
  </si>
  <si>
    <t>80_娯楽業</t>
  </si>
  <si>
    <t>85_社会保険・社会福祉・介護事業</t>
  </si>
  <si>
    <t>90_機械等修理業_別掲を除く</t>
  </si>
  <si>
    <t>013_農業サービス業（園芸サービス業を除く）</t>
  </si>
  <si>
    <t>12_木材・木製品製造業_家具を除く</t>
    <phoneticPr fontId="1"/>
  </si>
  <si>
    <t>36_水道業</t>
  </si>
  <si>
    <t>40_インターネット附随サービス業</t>
  </si>
  <si>
    <t>45_水運業</t>
  </si>
  <si>
    <t>53_建築材料・鉱物・金属材料等卸売業</t>
    <phoneticPr fontId="1"/>
  </si>
  <si>
    <t>65_金融商品取引業・商品先物取引業</t>
    <phoneticPr fontId="1"/>
  </si>
  <si>
    <t>74_技術サービス業_他に分類されないもの</t>
  </si>
  <si>
    <t>91_職業紹介・労働者派遣業</t>
  </si>
  <si>
    <t>014_園芸サービス業</t>
  </si>
  <si>
    <t>13_家具・装備品製造業</t>
  </si>
  <si>
    <t>41_映像・音声・文字情報制作業</t>
  </si>
  <si>
    <t>46_航空運輸業</t>
  </si>
  <si>
    <t>54_機械器具卸売業</t>
  </si>
  <si>
    <t>66_補助的金融業等</t>
  </si>
  <si>
    <t>92_その他の事業サービス業</t>
  </si>
  <si>
    <t>020_管理，補助的経済活動を行う事業所</t>
  </si>
  <si>
    <t>14_パルプ・紙・紙加工品製造業</t>
  </si>
  <si>
    <t>47_倉庫業</t>
  </si>
  <si>
    <t>55_その他の卸売業</t>
  </si>
  <si>
    <t>67_保険業_保険媒介代理業・保険サービス業を含む</t>
    <phoneticPr fontId="1"/>
  </si>
  <si>
    <t>93_政治・経済・文化団体</t>
  </si>
  <si>
    <t>021_育林業</t>
  </si>
  <si>
    <t>15_印刷・同関連業</t>
  </si>
  <si>
    <t>48_運輸に附帯するサービス業</t>
  </si>
  <si>
    <t>56_各種商品小売業</t>
  </si>
  <si>
    <t>94_宗教</t>
  </si>
  <si>
    <t>022_素材生産業</t>
  </si>
  <si>
    <t>16_化学工業</t>
  </si>
  <si>
    <t>49_郵便業_信書便事業を含む</t>
    <phoneticPr fontId="1"/>
  </si>
  <si>
    <t>57_織物・衣服・身の回り品小売業</t>
  </si>
  <si>
    <t>95_その他のサービス業</t>
  </si>
  <si>
    <t>023_特用林産物生産業（きのこ類の栽培を除く）</t>
  </si>
  <si>
    <t>17_石油製品・石炭製品製造業</t>
  </si>
  <si>
    <t>58_飲食料品小売業</t>
  </si>
  <si>
    <t>96_外国公務</t>
  </si>
  <si>
    <t>024_林業サービス業</t>
  </si>
  <si>
    <t>18_プラスチック製品製造業_別掲を除く</t>
    <phoneticPr fontId="1"/>
  </si>
  <si>
    <t>59_機械器具小売業</t>
  </si>
  <si>
    <t>029_その他の林業</t>
  </si>
  <si>
    <t>19_ゴム製品製造業</t>
  </si>
  <si>
    <t>60_その他の小売業</t>
  </si>
  <si>
    <t>B_漁業</t>
  </si>
  <si>
    <t>03_漁業（水産養殖業を除く）</t>
  </si>
  <si>
    <t>030_管理，補助的経済活動を行う事業所</t>
  </si>
  <si>
    <t>20_なめし革・同製品・毛皮製造業</t>
  </si>
  <si>
    <t>61_無店舗小売業</t>
  </si>
  <si>
    <t>031_海面漁業</t>
  </si>
  <si>
    <t>21_窯業・土石製品製造業</t>
  </si>
  <si>
    <t>032_内水面漁業</t>
  </si>
  <si>
    <t>22_鉄鋼業</t>
  </si>
  <si>
    <t>040_管理，補助的経済活動を行う事業所</t>
  </si>
  <si>
    <t>23_非鉄金属製造業</t>
  </si>
  <si>
    <t>041_海面養殖業</t>
  </si>
  <si>
    <t>24_金属製品製造業</t>
  </si>
  <si>
    <t>042_内水面養殖業</t>
  </si>
  <si>
    <t>25_はん用機械器具製造業</t>
  </si>
  <si>
    <t>05_鉱業・採石業・砂利採取業</t>
  </si>
  <si>
    <t>050_管理，補助的経済活動を行う事業所</t>
  </si>
  <si>
    <t>26_生産用機械器具製造業</t>
  </si>
  <si>
    <t>051_金属鉱業</t>
  </si>
  <si>
    <t>27_業務用機械器具製造業</t>
  </si>
  <si>
    <t>052_石炭・亜炭鉱業</t>
  </si>
  <si>
    <t>28_電子部品・デバイス・電子回路製造業</t>
  </si>
  <si>
    <t>053_原油・天然ガス鉱業</t>
  </si>
  <si>
    <t>29_電気機械器具製造業</t>
  </si>
  <si>
    <t>054_採石業，砂・砂利・玉石採取業</t>
  </si>
  <si>
    <t>30_情報通信機械器具製造業</t>
  </si>
  <si>
    <t>055_窯業原料用鉱物鉱業（耐火物・陶磁器・ガラス・セメント原料用に限る）</t>
  </si>
  <si>
    <t>31_輸送用機械器具製造業</t>
  </si>
  <si>
    <t>059_その他の鉱業</t>
  </si>
  <si>
    <t>32_その他の製造業</t>
  </si>
  <si>
    <t>D_建設業</t>
  </si>
  <si>
    <t>060_管理，補助的経済活動を行う事業所</t>
  </si>
  <si>
    <t>061_一般土木建築工事業</t>
  </si>
  <si>
    <t>062_土木工事業（舗装工事業を除く）</t>
  </si>
  <si>
    <t>063_舗装工事業</t>
  </si>
  <si>
    <t>064_建築工事業（木造建築工事業を除く）</t>
  </si>
  <si>
    <t>065_木造建築工事業</t>
  </si>
  <si>
    <t>066_建築リフォーム工事業</t>
  </si>
  <si>
    <t>C_鉱業・採石業・砂利採取業</t>
  </si>
  <si>
    <t>E_製造業</t>
  </si>
  <si>
    <t>F_電気・ガス・熱供給・水道業</t>
  </si>
  <si>
    <t>G_情報通信業</t>
  </si>
  <si>
    <t>H_運輸業・郵便業</t>
  </si>
  <si>
    <t>I_卸売業・小売業</t>
  </si>
  <si>
    <t>J_金融業・保険業</t>
  </si>
  <si>
    <t>K_不動産業・物品賃貸業</t>
  </si>
  <si>
    <t>L_学術研究・専門・技術サービス業</t>
  </si>
  <si>
    <t>M_宿泊業・飲食サービス業</t>
  </si>
  <si>
    <t>N_生活関連サービス業・娯楽業</t>
  </si>
  <si>
    <t>O_教育・学習支援業</t>
  </si>
  <si>
    <t>P_医療・福祉</t>
  </si>
  <si>
    <t>Q_複合サービス事業</t>
  </si>
  <si>
    <t>R_サービス業（他に分類されないもの）</t>
  </si>
  <si>
    <t>S_公務（他に分類されるものを除く）</t>
  </si>
  <si>
    <t>T_分類不能の産業</t>
  </si>
  <si>
    <t>07_職別工事業（設備工事業を除く）</t>
  </si>
  <si>
    <t>070_管理，補助的経済活動を行う事業所</t>
  </si>
  <si>
    <t>03_漁業_水産養殖業を除く</t>
  </si>
  <si>
    <t>18_プラスチック製品製造業_別掲を除く</t>
  </si>
  <si>
    <t>49_郵便業_信書便事業を含む</t>
  </si>
  <si>
    <t>071_大工工事業</t>
  </si>
  <si>
    <t>080_管理，補助的経済活動を行う事業所</t>
  </si>
  <si>
    <t>090_管理，補助的経済活動を行う事業所</t>
  </si>
  <si>
    <t>100_管理，補助的経済活動を行う事業所</t>
  </si>
  <si>
    <t>110_管理，補助的経済活動を行う事業所</t>
  </si>
  <si>
    <t>120_管理，補助的経済活動を行う事業所</t>
  </si>
  <si>
    <t>130_管理，補助的経済活動を行う事業所</t>
  </si>
  <si>
    <t>140_管理，補助的経済活動を行う事業所</t>
  </si>
  <si>
    <t>150_管理，補助的経済活動を行う事業所</t>
  </si>
  <si>
    <t>160_管理，補助的経済活動を行う事業所</t>
  </si>
  <si>
    <t>170_管理，補助的経済活動を行う事業所</t>
  </si>
  <si>
    <t>180_管理，補助的経済活動を行う事業所</t>
  </si>
  <si>
    <t>190_管理，補助的経済活動を行う事業所</t>
  </si>
  <si>
    <t>200_管理，補助的経済活動を行う事業所</t>
  </si>
  <si>
    <t>210_管理，補助的経済活動を行う事業所</t>
  </si>
  <si>
    <t>220_管理，補助的経済活動を行う事業所</t>
  </si>
  <si>
    <t>230_管理，補助的経済活動を行う事業所</t>
  </si>
  <si>
    <t>240_管理，補助的経済活動を行う事業所</t>
  </si>
  <si>
    <t>250_管理，補助的経済活動を行う事業所</t>
  </si>
  <si>
    <t>260_管理，補助的経済活動を行う事業所</t>
  </si>
  <si>
    <t>270_管理，補助的経済活動を行う事業所</t>
  </si>
  <si>
    <t>280_管理，補助的経済活動を行う事業所</t>
  </si>
  <si>
    <t>290_管理，補助的経済活動を行う事業所</t>
  </si>
  <si>
    <t>300_管理，補助的経済活動を行う事業所</t>
  </si>
  <si>
    <t>310_管理，補助的経済活動を行う事業所</t>
  </si>
  <si>
    <t>320_管理，補助的経済活動を行う事業所</t>
  </si>
  <si>
    <t>330_管理，補助的経済活動を行う事業所</t>
  </si>
  <si>
    <t>340_管理，補助的経済活動を行う事業所</t>
  </si>
  <si>
    <t>350_管理，補助的経済活動を行う事業所</t>
  </si>
  <si>
    <t>360_管理，補助的経済活動を行う事業所</t>
  </si>
  <si>
    <t>370_管理，補助的経済活動を行う事業所</t>
  </si>
  <si>
    <t>380_管理，補助的経済活動を行う事業所</t>
  </si>
  <si>
    <t>390_管理，補助的経済活動を行う事業所</t>
  </si>
  <si>
    <t>400_管理，補助的経済活動を行う事業所</t>
  </si>
  <si>
    <t>410_管理，補助的経済活動を行う事業所</t>
  </si>
  <si>
    <t>420_管理，補助的経済活動を行う事業所</t>
  </si>
  <si>
    <t>430_管理，補助的経済活動を行う事業所</t>
  </si>
  <si>
    <t>440_管理，補助的経済活動を行う事業所</t>
  </si>
  <si>
    <t>450_管理，補助的経済活動を行う事業所</t>
  </si>
  <si>
    <t>460_管理，補助的経済活動を行う事業所</t>
  </si>
  <si>
    <t>470_管理，補助的経済活動を行う事業所</t>
  </si>
  <si>
    <t>480_管理，補助的経済活動を行う事業所</t>
  </si>
  <si>
    <t>490_管理，補助的経済活動を行う事業所</t>
  </si>
  <si>
    <t>500_管理，補助的経済活動を行う事業所</t>
  </si>
  <si>
    <t>510_管理，補助的経済活動を行う事業所</t>
  </si>
  <si>
    <t>520_管理，補助的経済活動を行う事業所</t>
  </si>
  <si>
    <t>530_管理，補助的経済活動を行う事業所</t>
  </si>
  <si>
    <t>540_管理，補助的経済活動を行う事業所</t>
  </si>
  <si>
    <t>550_管理，補助的経済活動を行う事業所</t>
  </si>
  <si>
    <t>560_管理，補助的経済活動を行う事業所</t>
  </si>
  <si>
    <t>570_管理，補助的経済活動を行う事業所</t>
  </si>
  <si>
    <t>580_管理，補助的経済活動を行う事業所</t>
  </si>
  <si>
    <t>590_管理，補助的経済活動を行う事業所</t>
  </si>
  <si>
    <t>600_管理，補助的経済活動を行う事業所</t>
  </si>
  <si>
    <t>610_管理，補助的経済活動を行う事業所</t>
  </si>
  <si>
    <t>620_管理，補助的経済活動を行う事業所</t>
  </si>
  <si>
    <t>630_管理，補助的経済活動を行う事業所</t>
  </si>
  <si>
    <t>640_管理，補助的経済活動を行う事業所</t>
  </si>
  <si>
    <t>650_管理，補助的経済活動を行う事業所</t>
  </si>
  <si>
    <t>660_管理，補助的経済活動を行う事業所</t>
  </si>
  <si>
    <t>670_管理，補助的経済活動を行う事業所</t>
  </si>
  <si>
    <t>680_管理，補助的経済活動を行う事業所</t>
  </si>
  <si>
    <t>690_管理，補助的経済活動を行う事業所</t>
  </si>
  <si>
    <t>700_管理，補助的経済活動を行う事業所</t>
  </si>
  <si>
    <t>710_管理，補助的経済活動を行う事業所</t>
  </si>
  <si>
    <t>720_管理，補助的経済活動を行う事業所</t>
  </si>
  <si>
    <t>730_管理，補助的経済活動を行う事業所</t>
  </si>
  <si>
    <t>740_管理，補助的経済活動を行う事業所</t>
  </si>
  <si>
    <t>750_管理，補助的経済活動を行う事業所</t>
  </si>
  <si>
    <t>760_管理，補助的経済活動を行う事業所</t>
  </si>
  <si>
    <t>770_管理，補助的経済活動を行う事業所</t>
  </si>
  <si>
    <t>780_管理，補助的経済活動を行う事業所</t>
  </si>
  <si>
    <t>790_管理，補助的経済活動を行う事業所</t>
  </si>
  <si>
    <t>800_管理，補助的経済活動を行う事業所</t>
  </si>
  <si>
    <t>810_管理，補助的経済活動を行う事業所</t>
  </si>
  <si>
    <t>820_管理，補助的経済活動を行う事業所</t>
  </si>
  <si>
    <t>830_管理，補助的経済活動を行う事業所</t>
  </si>
  <si>
    <t>840_管理，補助的経済活動を行う事業所</t>
  </si>
  <si>
    <t>850_管理，補助的経済活動を行う事業所</t>
  </si>
  <si>
    <t>860_管理，補助的経済活動を行う事業所</t>
  </si>
  <si>
    <t>870_管理，補助的経済活動を行う事業所</t>
  </si>
  <si>
    <t>880_管理，補助的経済活動を行う事業所</t>
  </si>
  <si>
    <t>890_管理，補助的経済活動を行う事業所</t>
  </si>
  <si>
    <t>900_管理，補助的経済活動を行う事業所</t>
  </si>
  <si>
    <t>910_管理，補助的経済活動を行う事業所</t>
  </si>
  <si>
    <t>920_管理，補助的経済活動を行う事業所</t>
  </si>
  <si>
    <t>931_経済団体</t>
  </si>
  <si>
    <t>941_神道系宗教</t>
  </si>
  <si>
    <t>961_外国公館</t>
    <rPh sb="4" eb="8">
      <t>ガイコクコウカン</t>
    </rPh>
    <phoneticPr fontId="1"/>
  </si>
  <si>
    <t>971_立法機関</t>
  </si>
  <si>
    <t>999_分類不能の産業</t>
    <rPh sb="4" eb="6">
      <t>ブンルイ</t>
    </rPh>
    <rPh sb="6" eb="8">
      <t>フノウ</t>
    </rPh>
    <rPh sb="9" eb="11">
      <t>サンギョウ</t>
    </rPh>
    <phoneticPr fontId="1"/>
  </si>
  <si>
    <t>072_とび・土工・コンクリート工事業</t>
  </si>
  <si>
    <t>081_電気工事業</t>
  </si>
  <si>
    <t>091_畜産食料品製造業</t>
  </si>
  <si>
    <t>101_清涼飲料製造業</t>
  </si>
  <si>
    <t>111_製糸業，紡績業，化学繊維・ねん糸等製造業</t>
  </si>
  <si>
    <t>121_製材業，木製品製造業</t>
  </si>
  <si>
    <t>131_家具製造業</t>
  </si>
  <si>
    <t>141_パルプ製造業</t>
  </si>
  <si>
    <t>151_印刷業</t>
  </si>
  <si>
    <t>161_化学肥料製造業</t>
  </si>
  <si>
    <t>171_石油精製業</t>
  </si>
  <si>
    <t>181_プラスチック板・棒・管・継手・異形押出製品製造業</t>
  </si>
  <si>
    <t>191_タイヤ・チューブ製造業</t>
  </si>
  <si>
    <t>201_なめし革製造業</t>
  </si>
  <si>
    <t>211_ガラス・同製品製造業</t>
  </si>
  <si>
    <t>221_製鉄業</t>
  </si>
  <si>
    <t>231_非鉄金属第１次製錬・精製業</t>
  </si>
  <si>
    <t>241_ブリキ缶・その他のめっき板等製品製造業</t>
  </si>
  <si>
    <t>251_ボイラ・原動機製造業</t>
  </si>
  <si>
    <t>261_農業用機械製造業（農業用器具を除く）</t>
  </si>
  <si>
    <t>271_事務用機械器具製造業</t>
  </si>
  <si>
    <t>281_電子デバイス製造業</t>
  </si>
  <si>
    <t>291_発電用・送電用・配電用電気機械器具製造業</t>
  </si>
  <si>
    <t>301_通信機械器具・同関連機械器具製造業</t>
  </si>
  <si>
    <t>311_自動車・同附属品製造業</t>
  </si>
  <si>
    <t>321_貴金属・宝石製品製造業</t>
  </si>
  <si>
    <t>331_電気業</t>
  </si>
  <si>
    <t>341_ガス業</t>
  </si>
  <si>
    <t>351_熱供給業</t>
  </si>
  <si>
    <t>361_上水道業</t>
  </si>
  <si>
    <t>371_固定電気通信業</t>
  </si>
  <si>
    <t>381_公共放送業（有線放送業を除く）</t>
  </si>
  <si>
    <t>391_ソフトウェア業</t>
  </si>
  <si>
    <t>401_インターネット附随サービス業</t>
  </si>
  <si>
    <t>411_映像情報制作・配給業</t>
  </si>
  <si>
    <t>421_鉄道業</t>
  </si>
  <si>
    <t>431_一般乗合旅客自動車運送業</t>
  </si>
  <si>
    <t>441_一般貨物自動車運送業</t>
  </si>
  <si>
    <t>451_外航海運業</t>
  </si>
  <si>
    <t>461_航空運送業</t>
  </si>
  <si>
    <t>471_倉庫業（冷蔵倉庫業を除く）</t>
  </si>
  <si>
    <t>481_港湾運送業</t>
  </si>
  <si>
    <t>491_郵便業（信書便事業を含む）</t>
  </si>
  <si>
    <t>501_各種商品卸売業</t>
  </si>
  <si>
    <t>511_繊維品卸売業（衣服，身の回り品を除く）</t>
  </si>
  <si>
    <t>521_農畜産物・水産物卸売業</t>
  </si>
  <si>
    <t>531_建築材料卸売業</t>
  </si>
  <si>
    <t>541_産業機械器具卸売業</t>
  </si>
  <si>
    <t>551_家具・建具・じゅう器等卸売業</t>
  </si>
  <si>
    <t>571_呉服・服地・寝具小売業</t>
  </si>
  <si>
    <t>581_各種食料品小売業</t>
  </si>
  <si>
    <t>591_自動車小売業</t>
  </si>
  <si>
    <t>601_家具・建具・畳小売業</t>
  </si>
  <si>
    <t>611_通信販売・訪問販売小売業</t>
  </si>
  <si>
    <t>621_中央銀行</t>
  </si>
  <si>
    <t>631_中小企業等金融業</t>
  </si>
  <si>
    <t>641_貸金業</t>
  </si>
  <si>
    <t>651_金融商品取引業</t>
  </si>
  <si>
    <t>661_補助的金融業，金融附帯業</t>
  </si>
  <si>
    <t>671_生命保険業</t>
  </si>
  <si>
    <t>681_建物売買業，土地売買業</t>
  </si>
  <si>
    <t>691_不動産賃貸業（貸家業，貸間業を除く）</t>
  </si>
  <si>
    <t>701_各種物品賃貸業</t>
  </si>
  <si>
    <t>711_自然科学研究所</t>
  </si>
  <si>
    <t>721_法律事務所，特許事務所</t>
  </si>
  <si>
    <t>731_広告業</t>
  </si>
  <si>
    <t>741_獣医業</t>
  </si>
  <si>
    <t>751_旅館，ホテル</t>
  </si>
  <si>
    <t>761_食堂，レストラン（専門料理店を除く）</t>
  </si>
  <si>
    <t>771_持ち帰り飲食サービス業</t>
  </si>
  <si>
    <t>781_洗濯業</t>
  </si>
  <si>
    <t>791_旅行業</t>
  </si>
  <si>
    <t>801_映画館</t>
  </si>
  <si>
    <t>811_幼稚園</t>
  </si>
  <si>
    <t>821_社会教育</t>
  </si>
  <si>
    <t>831_病院</t>
  </si>
  <si>
    <t>841_保健所</t>
  </si>
  <si>
    <t>851_社会保険事業団体</t>
  </si>
  <si>
    <t>861_郵便局</t>
  </si>
  <si>
    <t>871_農林水産業協同組合（他に分類されないもの）</t>
  </si>
  <si>
    <t>881_一般廃棄物処理業</t>
  </si>
  <si>
    <t>891_自動車整備業</t>
  </si>
  <si>
    <t>901_機械修理業（電気機械器具を除く）</t>
  </si>
  <si>
    <t>911_職業紹介業</t>
  </si>
  <si>
    <t>921_速記・ワープロ入力・複写業</t>
  </si>
  <si>
    <t>932_労働団体</t>
  </si>
  <si>
    <t>942_仏教系宗教</t>
  </si>
  <si>
    <t>951_集会場</t>
  </si>
  <si>
    <t>969_その他の外国公務</t>
  </si>
  <si>
    <t>972_司法機関</t>
  </si>
  <si>
    <t>073_鉄骨・鉄筋工事業</t>
  </si>
  <si>
    <t>082_電気通信・信号装置工事業</t>
  </si>
  <si>
    <t>092_水産食料品製造業</t>
  </si>
  <si>
    <t>102_酒類製造業</t>
  </si>
  <si>
    <t>112_織物業</t>
  </si>
  <si>
    <t>122_造作材・合板・建築用組立材料製造業</t>
  </si>
  <si>
    <t>132_宗教用具製造業</t>
  </si>
  <si>
    <t>142_紙製造業</t>
  </si>
  <si>
    <t>152_製版業</t>
  </si>
  <si>
    <t>162_無機化学工業製品製造業</t>
  </si>
  <si>
    <t>182_プラスチックフィルム・シート・床材・合成皮革製造業</t>
  </si>
  <si>
    <t>192_ゴム製・プラスチック製履物・同附属品製造業</t>
  </si>
  <si>
    <t>202_工業用革製品製造業（手袋を除く）</t>
  </si>
  <si>
    <t>212_セメント・同製品製造業</t>
  </si>
  <si>
    <t>222_製鋼・製鋼圧延業</t>
  </si>
  <si>
    <t>232_非鉄金属第２次製錬・精製業（非鉄金属合金製造業を含む）</t>
  </si>
  <si>
    <t>242_洋食器・刃物・手道具・金物類製造業</t>
  </si>
  <si>
    <t>252_ポンプ・圧縮機器製造業</t>
  </si>
  <si>
    <t>262_建設機械・鉱山機械製造業</t>
  </si>
  <si>
    <t>272_サービス用・娯楽用機械器具製造業</t>
  </si>
  <si>
    <t>282_電子部品製造業</t>
  </si>
  <si>
    <t>292_産業用電気機械器具製造業</t>
  </si>
  <si>
    <t>302_映像・音響機械器具製造業</t>
  </si>
  <si>
    <t>312_鉄道車両・同部分品製造業</t>
  </si>
  <si>
    <t>322_装身具・装飾品・ボタン・同関連品製造業（貴金属・宝石製を除く）</t>
  </si>
  <si>
    <t>362_工業用水道業</t>
  </si>
  <si>
    <t>372_移動電気通信業</t>
  </si>
  <si>
    <t>382_民間放送業（有線放送業を除く）</t>
  </si>
  <si>
    <t>392_情報処理・提供サービス業</t>
  </si>
  <si>
    <t>412_音声情報制作業</t>
  </si>
  <si>
    <t>432_一般乗用旅客自動車運送業</t>
  </si>
  <si>
    <t>442_特定貨物自動車運送業</t>
  </si>
  <si>
    <t>452_沿海海運業</t>
  </si>
  <si>
    <t>462_航空機使用業（航空運送業を除く）</t>
  </si>
  <si>
    <t>472_冷蔵倉庫業</t>
  </si>
  <si>
    <t>482_貨物運送取扱業（集配利用運送業を除く）</t>
  </si>
  <si>
    <t>512_衣服卸売業</t>
  </si>
  <si>
    <t>522_食料・飲料卸売業</t>
  </si>
  <si>
    <t>532_化学製品卸売業</t>
  </si>
  <si>
    <t>542_自動車卸売業</t>
  </si>
  <si>
    <t>552_医薬品・化粧品等卸売業</t>
  </si>
  <si>
    <t>572_男子服小売業</t>
  </si>
  <si>
    <t>582_野菜・果実小売業</t>
  </si>
  <si>
    <t>592_自転車小売業</t>
  </si>
  <si>
    <t>602_じゅう器小売業</t>
  </si>
  <si>
    <t>612_自動販売機による小売業</t>
  </si>
  <si>
    <t>622_銀行（中央銀行を除く）</t>
  </si>
  <si>
    <t>632_農林水産金融業</t>
  </si>
  <si>
    <t>642_質屋</t>
  </si>
  <si>
    <t>652_商品先物取引業，商品投資顧問業</t>
  </si>
  <si>
    <t>662_信託業</t>
  </si>
  <si>
    <t>672_損害保険業</t>
  </si>
  <si>
    <t>682_不動産代理業・仲介業</t>
  </si>
  <si>
    <t>692_貸家業，貸間業</t>
  </si>
  <si>
    <t>702_産業用機械器具賃貸業</t>
  </si>
  <si>
    <t>712_人文・社会科学研究所</t>
  </si>
  <si>
    <t>722_公証人役場，司法書士事務所，土地家屋調査士事務所</t>
  </si>
  <si>
    <t>742_土木建築サービス業</t>
  </si>
  <si>
    <t>752_簡易宿所</t>
  </si>
  <si>
    <t>762_専門料理店</t>
  </si>
  <si>
    <t>772_配達飲食サービス業</t>
  </si>
  <si>
    <t>782_理容業</t>
  </si>
  <si>
    <t>793_衣服裁縫修理業</t>
  </si>
  <si>
    <t>802_興行場（別掲を除く），興行団</t>
  </si>
  <si>
    <t>819_幼保連携型認定こども園</t>
  </si>
  <si>
    <t>822_職業・教育支援施設</t>
  </si>
  <si>
    <t>832_一般診療所</t>
  </si>
  <si>
    <t>842_健康相談施設</t>
  </si>
  <si>
    <t>852_福祉事務所</t>
  </si>
  <si>
    <t>862_郵便局受託業</t>
  </si>
  <si>
    <t>872_事業協同組合（他に分類されないもの）</t>
  </si>
  <si>
    <t>882_産業廃棄物処理業</t>
  </si>
  <si>
    <t>902_電気機械器具修理業</t>
  </si>
  <si>
    <t>912_労働者派遣業</t>
  </si>
  <si>
    <t>933_学術・文化団体</t>
  </si>
  <si>
    <t>943_キリスト教系宗教</t>
  </si>
  <si>
    <t>952_と畜場</t>
  </si>
  <si>
    <t>973_行政機関</t>
  </si>
  <si>
    <t>074_石工・れんが・タイル・ブロック工事業</t>
  </si>
  <si>
    <t>083_管工事業（さく井工事業を除く）</t>
  </si>
  <si>
    <t>093_野菜缶詰・果実缶詰・農産保存食料品製造業</t>
  </si>
  <si>
    <t>103_茶・コーヒー製造業（清涼飲料を除く）</t>
  </si>
  <si>
    <t>113_ニット生地製造業</t>
  </si>
  <si>
    <t>123_木製容器製造業（竹，とうを含む）</t>
  </si>
  <si>
    <t>133_建具製造業</t>
  </si>
  <si>
    <t>143_加工紙製造業</t>
  </si>
  <si>
    <t>153_製本業，印刷物加工業</t>
  </si>
  <si>
    <t>163_有機化学工業製品製造業</t>
  </si>
  <si>
    <t>173_コークス製造業</t>
  </si>
  <si>
    <t>183_工業用プラスチック製品製造業</t>
  </si>
  <si>
    <t>193_ゴムベルト・ゴムホース・工業用ゴム製品製造業</t>
  </si>
  <si>
    <t>203_革製履物用材料・同附属品製造業</t>
  </si>
  <si>
    <t>213_建設用粘土製品製造業（陶磁器製を除く）</t>
  </si>
  <si>
    <t>223_製鋼を行わない鋼材製造業（表面処理鋼材を除く）</t>
  </si>
  <si>
    <t>233_非鉄金属・同合金圧延業（抽伸，押出しを含む）</t>
  </si>
  <si>
    <t>243_暖房・調理等装置，配管工事用附属品製造業</t>
  </si>
  <si>
    <t>253_一般産業用機械・装置製造業</t>
  </si>
  <si>
    <t>263_繊維機械製造業</t>
  </si>
  <si>
    <t>273_計量器・測定器・分析機器・試験機・測量機械器具・理化学機械器具製造業</t>
  </si>
  <si>
    <t>283_記録メディア製造業</t>
  </si>
  <si>
    <t>293_民生用電気機械器具製造業</t>
  </si>
  <si>
    <t>303_電子計算機・同附属装置製造業</t>
  </si>
  <si>
    <t>313_船舶製造・修理業，舶用機関製造業</t>
  </si>
  <si>
    <t>323_時計・同部分品製造業</t>
  </si>
  <si>
    <t>363_下水道業</t>
  </si>
  <si>
    <t>373_電気通信に附帯するサービス業</t>
  </si>
  <si>
    <t>413_新聞業</t>
  </si>
  <si>
    <t>433_一般貸切旅客自動車運送業</t>
  </si>
  <si>
    <t>443_貨物軽自動車運送業</t>
  </si>
  <si>
    <t>453_内陸水運業</t>
  </si>
  <si>
    <t>483_運送代理店</t>
  </si>
  <si>
    <t>513_身の回り品卸売業</t>
  </si>
  <si>
    <t>533_石油・鉱物卸売業</t>
  </si>
  <si>
    <t>543_電気機械器具卸売業</t>
  </si>
  <si>
    <t>553_紙・紙製品卸売業</t>
  </si>
  <si>
    <t>573_婦人・子供服小売業</t>
  </si>
  <si>
    <t>583_食肉小売業</t>
  </si>
  <si>
    <t>593_機械器具小売業（自動車，自転車を除く）</t>
  </si>
  <si>
    <t>603_医薬品・化粧品小売業</t>
  </si>
  <si>
    <t>619_その他の無店舗小売業</t>
  </si>
  <si>
    <t>643_クレジットカード業，割賦金融業</t>
  </si>
  <si>
    <t>663_金融代理業</t>
  </si>
  <si>
    <t>673_共済事業，少額短期保険業</t>
  </si>
  <si>
    <t>693_駐車場業</t>
  </si>
  <si>
    <t>703_事務用機械器具賃貸業</t>
  </si>
  <si>
    <t>723_行政書士事務所</t>
  </si>
  <si>
    <t>743_機械設計業</t>
  </si>
  <si>
    <t>753_下宿業</t>
  </si>
  <si>
    <t>763_そば・うどん店</t>
  </si>
  <si>
    <t>783_美容業</t>
  </si>
  <si>
    <t>794_物品預り業</t>
  </si>
  <si>
    <t>803_競輪・競馬等の競走場，競技団</t>
  </si>
  <si>
    <t>812_小学校</t>
  </si>
  <si>
    <t>823_学習塾</t>
  </si>
  <si>
    <t>833_歯科診療所</t>
  </si>
  <si>
    <t>849_その他の保健衛生</t>
  </si>
  <si>
    <t>853_児童福祉事業</t>
  </si>
  <si>
    <t>889_その他の廃棄物処理業</t>
  </si>
  <si>
    <t>903_表具業</t>
  </si>
  <si>
    <t>923_警備業</t>
  </si>
  <si>
    <t>934_政治団体</t>
  </si>
  <si>
    <t>949_その他の宗教</t>
  </si>
  <si>
    <t>959_他に分類されないサービス業</t>
  </si>
  <si>
    <t>075_左官工事業</t>
  </si>
  <si>
    <t>084_機械器具設置工事業</t>
  </si>
  <si>
    <t>094_調味料製造業</t>
  </si>
  <si>
    <t>104_製氷業</t>
  </si>
  <si>
    <t>114_染色整理業</t>
  </si>
  <si>
    <t>129_その他の木製品製造業（竹，とうを含む）</t>
  </si>
  <si>
    <t>139_その他の家具・装備品製造業</t>
  </si>
  <si>
    <t>144_紙製品製造業</t>
  </si>
  <si>
    <t>159_印刷関連サービス業</t>
  </si>
  <si>
    <t>164_油脂加工製品・石けん・合成洗剤・界面活性剤・塗料製造業</t>
  </si>
  <si>
    <t>174_舗装材料製造業</t>
  </si>
  <si>
    <t>184_発泡・強化プラスチック製品製造業</t>
  </si>
  <si>
    <t>199_その他のゴム製品製造業</t>
  </si>
  <si>
    <t>204_革製履物製造業</t>
  </si>
  <si>
    <t>214_陶磁器・同関連製品製造業</t>
  </si>
  <si>
    <t>224_表面処理鋼材製造業</t>
  </si>
  <si>
    <t>234_電線・ケーブル製造業</t>
  </si>
  <si>
    <t>244_建設用・建築用金属製品製造業（製缶板金業を含む）</t>
  </si>
  <si>
    <t>259_その他のはん用機械・同部分品製造業</t>
  </si>
  <si>
    <t>264_生活関連産業用機械製造業</t>
  </si>
  <si>
    <t>274_医療用機械器具・医療用品製造業</t>
  </si>
  <si>
    <t>284_電子回路製造業</t>
  </si>
  <si>
    <t>294_電球・電気照明器具製造業</t>
  </si>
  <si>
    <t>314_航空機・同附属品製造業</t>
  </si>
  <si>
    <t>324_楽器製造業</t>
  </si>
  <si>
    <t>383_有線放送業</t>
  </si>
  <si>
    <t>414_出版業</t>
  </si>
  <si>
    <t>439_その他の道路旅客運送業</t>
  </si>
  <si>
    <t>444_集配利用運送業</t>
  </si>
  <si>
    <t>454_船舶貸渡業</t>
  </si>
  <si>
    <t>484_こん包業</t>
  </si>
  <si>
    <t>534_鉄鋼製品卸売業</t>
  </si>
  <si>
    <t>549_その他の機械器具卸売業</t>
  </si>
  <si>
    <t>559_他に分類されない卸売業</t>
  </si>
  <si>
    <t>574_靴・履物小売業</t>
  </si>
  <si>
    <t>584_鮮魚小売業</t>
  </si>
  <si>
    <t>604_農耕用品小売業</t>
  </si>
  <si>
    <t>649_その他の非預金信用機関</t>
  </si>
  <si>
    <t>674_保険媒介代理業</t>
  </si>
  <si>
    <t>694_不動産管理業</t>
  </si>
  <si>
    <t>704_自動車賃貸業</t>
  </si>
  <si>
    <t>724_公認会計士事務所，税理士事務所</t>
  </si>
  <si>
    <t>744_商品・非破壊検査業</t>
  </si>
  <si>
    <t>759_その他の宿泊業</t>
  </si>
  <si>
    <t>764_すし店</t>
  </si>
  <si>
    <t>784_一般公衆浴場業</t>
  </si>
  <si>
    <t>795_火葬・墓地管理業</t>
  </si>
  <si>
    <t>804_スポーツ施設提供業</t>
  </si>
  <si>
    <t>824_教養・技能教授業</t>
  </si>
  <si>
    <t>834_助産・看護業</t>
  </si>
  <si>
    <t>854_老人福祉・介護事業</t>
  </si>
  <si>
    <t>909_その他の修理業</t>
  </si>
  <si>
    <t>929_他に分類されない事業サービス業</t>
  </si>
  <si>
    <t>939_他に分類されない非営利的団体</t>
  </si>
  <si>
    <t>076_板金・金物工事業</t>
  </si>
  <si>
    <t>089_その他の設備工事業</t>
  </si>
  <si>
    <t>105_たばこ製造業</t>
  </si>
  <si>
    <t>115_綱・網・レース・繊維粗製品製造業</t>
  </si>
  <si>
    <t>145_紙製容器製造業</t>
  </si>
  <si>
    <t>165_医薬品製造業</t>
  </si>
  <si>
    <t>179_その他の石油製品・石炭製品製造業</t>
  </si>
  <si>
    <t>185_プラスチック成形材料製造業（廃プラスチックを含む）</t>
  </si>
  <si>
    <t>205_革製手袋製造業</t>
  </si>
  <si>
    <t>215_耐火物製造業</t>
  </si>
  <si>
    <t>225_鉄素形材製造業</t>
  </si>
  <si>
    <t>235_非鉄金属素形材製造業</t>
  </si>
  <si>
    <t>245_金属素形材製品製造業</t>
  </si>
  <si>
    <t>265_基礎素材産業用機械製造業</t>
  </si>
  <si>
    <t>275_光学機械器具・レンズ製造業</t>
  </si>
  <si>
    <t>285_ユニット部品製造業</t>
  </si>
  <si>
    <t>295_電池製造業</t>
  </si>
  <si>
    <t>315_産業用運搬車両・同部分品・附属品製造業</t>
  </si>
  <si>
    <t>325_がん具・運動用具製造業</t>
  </si>
  <si>
    <t>415_広告制作業</t>
  </si>
  <si>
    <t>449_その他の道路貨物運送業</t>
  </si>
  <si>
    <t>485_運輸施設提供業</t>
  </si>
  <si>
    <t>535_非鉄金属卸売業</t>
  </si>
  <si>
    <t>579_その他の織物・衣服・身の回り品小売業</t>
  </si>
  <si>
    <t>585_酒小売業</t>
  </si>
  <si>
    <t>605_燃料小売業</t>
  </si>
  <si>
    <t>675_保険サービス業</t>
  </si>
  <si>
    <t>705_スポーツ・娯楽用品賃貸業</t>
  </si>
  <si>
    <t>725_社会保険労務士事務所</t>
  </si>
  <si>
    <t>745_計量証明業</t>
  </si>
  <si>
    <t>765_酒場，ビヤホール</t>
  </si>
  <si>
    <t>785_その他の公衆浴場業</t>
  </si>
  <si>
    <t>796_冠婚葬祭業</t>
  </si>
  <si>
    <t>805_公園，遊園地</t>
  </si>
  <si>
    <t>814_高等学校，中等教育学校</t>
  </si>
  <si>
    <t>829_他に分類されない教育，学習支援業</t>
  </si>
  <si>
    <t>855_障害者福祉事業</t>
  </si>
  <si>
    <t>077_塗装工事業</t>
  </si>
  <si>
    <t>096_精穀・製粉業</t>
  </si>
  <si>
    <t>106_飼料・有機質肥料製造業</t>
  </si>
  <si>
    <t>116_外衣・シャツ製造業（和式を除く）</t>
  </si>
  <si>
    <t>149_その他のパルプ・紙・紙加工品製造業</t>
  </si>
  <si>
    <t>166_化粧品・歯磨・その他の化粧用調整品製造業</t>
  </si>
  <si>
    <t>189_その他のプラスチック製品製造業</t>
  </si>
  <si>
    <t>206_かばん製造業</t>
  </si>
  <si>
    <t>216_炭素・黒鉛製品製造業</t>
  </si>
  <si>
    <t>229_その他の鉄鋼業</t>
  </si>
  <si>
    <t>239_その他の非鉄金属製造業</t>
  </si>
  <si>
    <t>246_金属被覆・彫刻業，熱処理業（ほうろう鉄器を除く）</t>
  </si>
  <si>
    <t>266_金属加工機械製造業</t>
  </si>
  <si>
    <t>276_武器製造業</t>
  </si>
  <si>
    <t>289_その他の電子部品・デバイス・電子回路製造業</t>
  </si>
  <si>
    <t>296_電子応用装置製造業</t>
  </si>
  <si>
    <t>319_その他の輸送用機械器具製造業</t>
  </si>
  <si>
    <t>326_ペン・鉛筆・絵画用品・その他の事務用品製造業</t>
  </si>
  <si>
    <t>416_映像・音声・文字情報制作に附帯するサービス業</t>
  </si>
  <si>
    <t>489_その他の運輸に附帯するサービス業</t>
  </si>
  <si>
    <t>536_再生資源卸売業</t>
  </si>
  <si>
    <t>586_菓子・パン小売業</t>
  </si>
  <si>
    <t>606_書籍・文房具小売業</t>
  </si>
  <si>
    <t>709_その他の物品賃貸業</t>
  </si>
  <si>
    <t>726_デザイン業</t>
  </si>
  <si>
    <t>746_写真業</t>
  </si>
  <si>
    <t>766_バー，キャバレー，ナイトクラブ</t>
  </si>
  <si>
    <t>789_その他の洗濯・理容・美容・浴場業</t>
  </si>
  <si>
    <t>799_他に分類されない生活関連サービス業</t>
  </si>
  <si>
    <t>806_遊戯場</t>
  </si>
  <si>
    <t>815_特別支援学校</t>
  </si>
  <si>
    <t>836_医療に附帯するサービス業</t>
  </si>
  <si>
    <t>859_その他の社会保険・社会福祉・介護事業</t>
  </si>
  <si>
    <t>078_床・内装工事業</t>
  </si>
  <si>
    <t>097_パン・菓子製造業</t>
  </si>
  <si>
    <t>117_下着類製造業</t>
  </si>
  <si>
    <t>169_その他の化学工業</t>
  </si>
  <si>
    <t>207_袋物製造業</t>
  </si>
  <si>
    <t>217_研磨材・同製品製造業</t>
  </si>
  <si>
    <t>247_金属線製品製造業（ねじ類を除く）</t>
  </si>
  <si>
    <t>267_半導体・フラットパネルディスプレイ製造装置製造業</t>
  </si>
  <si>
    <t>297_電気計測器製造業</t>
  </si>
  <si>
    <t>327_漆器製造業</t>
  </si>
  <si>
    <t>589_その他の飲食料品小売業</t>
  </si>
  <si>
    <t>607_スポーツ用品・がん具・娯楽用品・楽器小売業</t>
  </si>
  <si>
    <t>727_著述・芸術家業</t>
  </si>
  <si>
    <t>749_その他の技術サービス業</t>
  </si>
  <si>
    <t>767_喫茶店</t>
  </si>
  <si>
    <t>809_その他の娯楽業</t>
  </si>
  <si>
    <t>816_高等教育機関</t>
  </si>
  <si>
    <t>079_その他の職別工事業</t>
  </si>
  <si>
    <t>098_動植物油脂製造業</t>
  </si>
  <si>
    <t>118_和装製品・その他の衣服・繊維製身の回り品製造業</t>
  </si>
  <si>
    <t>208_毛皮製造業</t>
  </si>
  <si>
    <t>218_骨材・石工品等製造業</t>
  </si>
  <si>
    <t>248_ボルト・ナット・リベット・小ねじ・木ねじ等製造業</t>
  </si>
  <si>
    <t>269_その他の生産用機械・同部分品製造業</t>
  </si>
  <si>
    <t>299_その他の電気機械器具製造業</t>
  </si>
  <si>
    <t>328_畳等生活雑貨製品製造業</t>
  </si>
  <si>
    <t>608_写真機・時計・眼鏡小売業</t>
  </si>
  <si>
    <t>728_経営コンサルタント業，純粋持株会社</t>
  </si>
  <si>
    <t>769_その他の飲食店</t>
  </si>
  <si>
    <t>817_専修学校，各種学校</t>
  </si>
  <si>
    <t>099_その他の食料品製造業</t>
  </si>
  <si>
    <t>119_その他の繊維製品製造業</t>
  </si>
  <si>
    <t>209_その他のなめし革製品製造業</t>
  </si>
  <si>
    <t>219_その他の窯業・土石製品製造業</t>
  </si>
  <si>
    <t>249_その他の金属製品製造業</t>
  </si>
  <si>
    <t>329_他に分類されない製造業</t>
  </si>
  <si>
    <t>609_他に分類されない小売業</t>
  </si>
  <si>
    <t>729_その他の専門サービス業</t>
  </si>
  <si>
    <t>818_学校教育支援機関</t>
  </si>
  <si>
    <t>12_木材・木製品製造業（家具を除く）</t>
  </si>
  <si>
    <t>18_プラスチック製品製造業（別掲を除く）</t>
  </si>
  <si>
    <t>49_郵便業（信書便事業を含む）</t>
  </si>
  <si>
    <t>53_建築材料・鉱物・金属材料等卸売業</t>
  </si>
  <si>
    <t>64_貸金業・クレジットカード業等非預金信用機関</t>
  </si>
  <si>
    <t>65_金融商品取引業・商品先物取引業</t>
  </si>
  <si>
    <t>67_保険業（保険媒介代理業・保険サービス業を含む）</t>
  </si>
  <si>
    <t>72_専門サービス業（他に分類されないもの）</t>
  </si>
  <si>
    <t>74_技術サービス業（他に分類されないもの）</t>
  </si>
  <si>
    <t>82_その他の教育・学習支援業</t>
  </si>
  <si>
    <t>87_協同組合（他に分類されないもの）</t>
  </si>
  <si>
    <t>90_機械等修理業（別掲を除く）</t>
  </si>
  <si>
    <t>950_管理，補助的経済活動を行う事業所</t>
  </si>
  <si>
    <t>96_外国公務</t>
    <rPh sb="3" eb="7">
      <t>ガイコクコウム</t>
    </rPh>
    <phoneticPr fontId="1"/>
  </si>
  <si>
    <t>961_外国公館</t>
    <phoneticPr fontId="1"/>
  </si>
  <si>
    <t>969_その他の外国公務</t>
    <phoneticPr fontId="1"/>
  </si>
  <si>
    <t>999_分類不能の産業</t>
  </si>
  <si>
    <t xml:space="preserve">095_砂糖・でんぷん糖類製造業 </t>
    <phoneticPr fontId="1"/>
  </si>
  <si>
    <t>172_潤滑油・グリース製造業（石油精製によらないもの）</t>
    <phoneticPr fontId="1"/>
  </si>
  <si>
    <t>561_百貨店</t>
  </si>
  <si>
    <t>562_総合スーパーマーケット</t>
    <rPh sb="4" eb="6">
      <t>ソウゴウ</t>
    </rPh>
    <phoneticPr fontId="1"/>
  </si>
  <si>
    <t>563_コンビニエンスストア</t>
  </si>
  <si>
    <t>564_ドラッグストア</t>
  </si>
  <si>
    <t>565_ホームセンター</t>
  </si>
  <si>
    <t>566_均一価格店</t>
    <rPh sb="4" eb="6">
      <t>キンイツ</t>
    </rPh>
    <rPh sb="6" eb="8">
      <t>カカク</t>
    </rPh>
    <rPh sb="8" eb="9">
      <t>テン</t>
    </rPh>
    <phoneticPr fontId="1"/>
  </si>
  <si>
    <t>569_その他の各種商品小売業</t>
    <rPh sb="6" eb="7">
      <t>タ</t>
    </rPh>
    <rPh sb="8" eb="12">
      <t>カクシュショウヒン</t>
    </rPh>
    <rPh sb="12" eb="15">
      <t>コウリギョウ</t>
    </rPh>
    <phoneticPr fontId="1"/>
  </si>
  <si>
    <t>673_共済事業，少額短期保険業</t>
    <phoneticPr fontId="1"/>
  </si>
  <si>
    <t>773_施設給食業</t>
    <rPh sb="4" eb="8">
      <t>シセツキュウショク</t>
    </rPh>
    <rPh sb="8" eb="9">
      <t>ギョウ</t>
    </rPh>
    <phoneticPr fontId="1"/>
  </si>
  <si>
    <t>813_中学校、義務教育学校</t>
    <rPh sb="8" eb="14">
      <t>ギムキョウイクガッコウ</t>
    </rPh>
    <phoneticPr fontId="1"/>
  </si>
  <si>
    <t>835_施術業</t>
    <rPh sb="4" eb="6">
      <t>セジュツ</t>
    </rPh>
    <phoneticPr fontId="1"/>
  </si>
  <si>
    <t>922_建物等維持管理業</t>
    <rPh sb="6" eb="7">
      <t>トウ</t>
    </rPh>
    <rPh sb="7" eb="12">
      <t>イジカンリギョウ</t>
    </rPh>
    <phoneticPr fontId="1"/>
  </si>
  <si>
    <t>981_都道府県の機関</t>
    <phoneticPr fontId="1"/>
  </si>
  <si>
    <t>982_市町村の機関</t>
    <phoneticPr fontId="1"/>
  </si>
  <si>
    <t>07_職別工事業_設備工事業を除く</t>
  </si>
  <si>
    <t>12_木材・木製品製造業_家具を除く</t>
  </si>
  <si>
    <t>67_保険業_保険媒介代理業・保険サービス業を含む</t>
  </si>
  <si>
    <t>981_都道府県の機関</t>
  </si>
  <si>
    <t>982_市町村の機関</t>
  </si>
  <si>
    <t>172_潤滑油・グリース製造業（石油精製によらないもの）</t>
  </si>
  <si>
    <t>922_建物等維持管理業</t>
    <rPh sb="6" eb="7">
      <t>トウ</t>
    </rPh>
    <rPh sb="7" eb="11">
      <t>イジカンリ</t>
    </rPh>
    <rPh sb="11" eb="12">
      <t>ギョウ</t>
    </rPh>
    <phoneticPr fontId="1"/>
  </si>
  <si>
    <t>773_施設給食業</t>
    <rPh sb="4" eb="6">
      <t>シセツ</t>
    </rPh>
    <rPh sb="6" eb="8">
      <t>キュウショク</t>
    </rPh>
    <rPh sb="8" eb="9">
      <t>ギョウ</t>
    </rPh>
    <phoneticPr fontId="1"/>
  </si>
  <si>
    <t xml:space="preserve">095_砂糖・でんぷん糖類製造業 </t>
  </si>
  <si>
    <t>女性活躍推進法に基づく一般事業主行動計画を公表している企業あるいは
えるぼし認定企業</t>
    <rPh sb="38" eb="40">
      <t>ニンテイ</t>
    </rPh>
    <rPh sb="40" eb="42">
      <t>キギョウ</t>
    </rPh>
    <phoneticPr fontId="1"/>
  </si>
  <si>
    <t>次世代育成支援対策推進法に基づく一般事業主行動計画を公表している企業
あるいはくるみん認定企業</t>
    <rPh sb="43" eb="45">
      <t>ニンテイ</t>
    </rPh>
    <rPh sb="45" eb="47">
      <t>キギョウ</t>
    </rPh>
    <phoneticPr fontId="1"/>
  </si>
  <si>
    <t>ver. 4.01</t>
    <phoneticPr fontId="1"/>
  </si>
  <si>
    <t>5-4 次世代育成支援対策推進法に基づく一般事業主行動計画を公表している企業あるいはくるみん認定企業、5-5 女性活躍推進法に基づく一般事業主行動計画を公表している企業あるいはえるぼし認定企業は、</t>
    <rPh sb="4" eb="7">
      <t>ジセダイ</t>
    </rPh>
    <rPh sb="7" eb="11">
      <t>イクセイシエン</t>
    </rPh>
    <rPh sb="11" eb="13">
      <t>タイサク</t>
    </rPh>
    <rPh sb="13" eb="16">
      <t>スイシンホウ</t>
    </rPh>
    <rPh sb="55" eb="62">
      <t>ジョセイカツヤクスイシンホウ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</si>
</sst>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0&quot;年&quot;&quot;度&quot;"/>
    <numFmt numFmtId="177" formatCode="[$-F800]dddd\,\ mmmm\ dd\,\ yyyy"/>
    <numFmt numFmtId="178" formatCode="yy/m&quot;月期&quot;"/>
    <numFmt numFmtId="179" formatCode="yyyy&quot;年&quot;m&quot;月期&quot;"/>
    <numFmt numFmtId="180" formatCode="yy&quot;年&quot;m&quot;月期&quot;"/>
    <numFmt numFmtId="181" formatCode="#,##0.0;[Red]\-#,##0.0"/>
    <numFmt numFmtId="182" formatCode="0_);[Red]\(0\)"/>
  </numFmts>
  <fonts count="32">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theme="1"/>
      <name val="游ゴシック"/>
      <family val="2"/>
      <charset val="128"/>
      <scheme val="minor"/>
    </font>
    <font>
      <b/>
      <sz val="12"/>
      <color theme="1"/>
      <name val="游ゴシック"/>
      <family val="3"/>
      <charset val="128"/>
      <scheme val="minor"/>
    </font>
    <font>
      <sz val="11"/>
      <color theme="2"/>
      <name val="游ゴシック"/>
      <family val="3"/>
      <charset val="128"/>
      <scheme val="minor"/>
    </font>
    <font>
      <sz val="11"/>
      <color rgb="FFC00000"/>
      <name val="游ゴシック"/>
      <family val="3"/>
      <charset val="128"/>
      <scheme val="minor"/>
    </font>
    <font>
      <sz val="10"/>
      <color theme="1"/>
      <name val="游ゴシック"/>
      <family val="3"/>
      <charset val="128"/>
      <scheme val="minor"/>
    </font>
    <font>
      <b/>
      <sz val="10"/>
      <color theme="1"/>
      <name val="游ゴシック"/>
      <family val="3"/>
      <charset val="128"/>
      <scheme val="minor"/>
    </font>
    <font>
      <u/>
      <sz val="11"/>
      <color theme="10"/>
      <name val="游ゴシック"/>
      <family val="2"/>
      <charset val="128"/>
      <scheme val="minor"/>
    </font>
    <font>
      <sz val="11"/>
      <color theme="4"/>
      <name val="游ゴシック"/>
      <family val="3"/>
      <charset val="128"/>
      <scheme val="minor"/>
    </font>
    <font>
      <b/>
      <sz val="11"/>
      <color theme="4"/>
      <name val="游ゴシック"/>
      <family val="3"/>
      <charset val="128"/>
      <scheme val="minor"/>
    </font>
    <font>
      <b/>
      <sz val="14"/>
      <color theme="1"/>
      <name val="游ゴシック"/>
      <family val="3"/>
      <charset val="128"/>
      <scheme val="minor"/>
    </font>
    <font>
      <sz val="11"/>
      <color theme="0" tint="-0.249977111117893"/>
      <name val="游ゴシック"/>
      <family val="3"/>
      <charset val="128"/>
      <scheme val="minor"/>
    </font>
    <font>
      <b/>
      <sz val="11"/>
      <name val="游ゴシック"/>
      <family val="3"/>
      <charset val="128"/>
      <scheme val="minor"/>
    </font>
    <font>
      <sz val="10"/>
      <color theme="4"/>
      <name val="游ゴシック"/>
      <family val="3"/>
      <charset val="128"/>
      <scheme val="minor"/>
    </font>
    <font>
      <sz val="11"/>
      <color theme="0"/>
      <name val="游ゴシック"/>
      <family val="3"/>
      <charset val="128"/>
      <scheme val="minor"/>
    </font>
    <font>
      <sz val="12"/>
      <color theme="4"/>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b/>
      <sz val="10"/>
      <color theme="4"/>
      <name val="游ゴシック"/>
      <family val="3"/>
      <charset val="128"/>
      <scheme val="minor"/>
    </font>
    <font>
      <sz val="11"/>
      <color theme="0" tint="-4.9989318521683403E-2"/>
      <name val="游ゴシック"/>
      <family val="3"/>
      <charset val="128"/>
      <scheme val="minor"/>
    </font>
    <font>
      <sz val="11"/>
      <color rgb="FFC00000"/>
      <name val="游ゴシック"/>
      <family val="2"/>
      <charset val="128"/>
      <scheme val="minor"/>
    </font>
    <font>
      <sz val="11"/>
      <color theme="0"/>
      <name val="游ゴシック"/>
      <family val="2"/>
      <charset val="128"/>
      <scheme val="minor"/>
    </font>
    <font>
      <b/>
      <sz val="11"/>
      <color rgb="FFFF0000"/>
      <name val="游ゴシック"/>
      <family val="3"/>
      <charset val="128"/>
      <scheme val="minor"/>
    </font>
    <font>
      <b/>
      <sz val="12"/>
      <name val="游ゴシック"/>
      <family val="3"/>
      <charset val="128"/>
      <scheme val="minor"/>
    </font>
    <font>
      <sz val="12"/>
      <name val="游ゴシック"/>
      <family val="3"/>
      <charset val="128"/>
      <scheme val="minor"/>
    </font>
    <font>
      <u/>
      <sz val="12"/>
      <name val="游ゴシック"/>
      <family val="3"/>
      <charset val="128"/>
      <scheme val="minor"/>
    </font>
    <font>
      <sz val="11"/>
      <color theme="6"/>
      <name val="游ゴシック"/>
      <family val="3"/>
      <charset val="128"/>
      <scheme val="minor"/>
    </font>
  </fonts>
  <fills count="9">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bgColor indexed="64"/>
      </patternFill>
    </fill>
    <fill>
      <patternFill patternType="solid">
        <fgColor theme="0"/>
        <bgColor indexed="64"/>
      </patternFill>
    </fill>
    <fill>
      <patternFill patternType="solid">
        <fgColor rgb="FFF2F2F2"/>
        <bgColor indexed="64"/>
      </patternFill>
    </fill>
    <fill>
      <patternFill patternType="solid">
        <fgColor theme="0" tint="-0.249977111117893"/>
        <bgColor indexed="64"/>
      </patternFill>
    </fill>
    <fill>
      <patternFill patternType="solid">
        <fgColor theme="1" tint="0.499984740745262"/>
        <bgColor indexed="64"/>
      </patternFill>
    </fill>
  </fills>
  <borders count="43">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diagonalUp="1">
      <left style="hair">
        <color auto="1"/>
      </left>
      <right style="hair">
        <color auto="1"/>
      </right>
      <top style="hair">
        <color auto="1"/>
      </top>
      <bottom style="hair">
        <color auto="1"/>
      </bottom>
      <diagonal style="hair">
        <color auto="1"/>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auto="1"/>
      </left>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style="thin">
        <color indexed="64"/>
      </top>
      <bottom style="hair">
        <color auto="1"/>
      </bottom>
      <diagonal/>
    </border>
    <border>
      <left style="hair">
        <color auto="1"/>
      </left>
      <right style="thin">
        <color auto="1"/>
      </right>
      <top style="thin">
        <color indexed="64"/>
      </top>
      <bottom style="hair">
        <color auto="1"/>
      </bottom>
      <diagonal/>
    </border>
    <border>
      <left/>
      <right style="medium">
        <color indexed="64"/>
      </right>
      <top style="medium">
        <color indexed="64"/>
      </top>
      <bottom style="medium">
        <color indexed="64"/>
      </bottom>
      <diagonal/>
    </border>
    <border>
      <left style="hair">
        <color theme="1" tint="0.499984740745262"/>
      </left>
      <right/>
      <top style="hair">
        <color theme="1" tint="0.499984740745262"/>
      </top>
      <bottom style="hair">
        <color theme="1" tint="0.499984740745262"/>
      </bottom>
      <diagonal/>
    </border>
    <border>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indexed="64"/>
      </left>
      <right/>
      <top style="hair">
        <color indexed="64"/>
      </top>
      <bottom style="thin">
        <color theme="1" tint="0.499984740745262"/>
      </bottom>
      <diagonal/>
    </border>
    <border>
      <left/>
      <right style="hair">
        <color auto="1"/>
      </right>
      <top style="hair">
        <color indexed="64"/>
      </top>
      <bottom style="thin">
        <color theme="1" tint="0.499984740745262"/>
      </bottom>
      <diagonal/>
    </border>
    <border>
      <left style="hair">
        <color indexed="64"/>
      </left>
      <right style="hair">
        <color auto="1"/>
      </right>
      <top style="hair">
        <color indexed="64"/>
      </top>
      <bottom style="thin">
        <color theme="1" tint="0.499984740745262"/>
      </bottom>
      <diagonal/>
    </border>
    <border>
      <left style="hair">
        <color indexed="64"/>
      </left>
      <right/>
      <top style="thin">
        <color theme="1" tint="0.499984740745262"/>
      </top>
      <bottom style="hair">
        <color indexed="64"/>
      </bottom>
      <diagonal/>
    </border>
    <border>
      <left/>
      <right style="hair">
        <color auto="1"/>
      </right>
      <top style="thin">
        <color theme="1" tint="0.499984740745262"/>
      </top>
      <bottom style="hair">
        <color indexed="64"/>
      </bottom>
      <diagonal/>
    </border>
    <border>
      <left style="hair">
        <color auto="1"/>
      </left>
      <right style="hair">
        <color auto="1"/>
      </right>
      <top style="thin">
        <color theme="1" tint="0.499984740745262"/>
      </top>
      <bottom style="hair">
        <color indexed="64"/>
      </bottom>
      <diagonal/>
    </border>
    <border>
      <left style="hair">
        <color auto="1"/>
      </left>
      <right/>
      <top/>
      <bottom/>
      <diagonal/>
    </border>
    <border>
      <left/>
      <right/>
      <top style="medium">
        <color indexed="64"/>
      </top>
      <bottom style="hair">
        <color auto="1"/>
      </bottom>
      <diagonal/>
    </border>
    <border>
      <left/>
      <right style="hair">
        <color auto="1"/>
      </right>
      <top style="medium">
        <color indexed="64"/>
      </top>
      <bottom style="hair">
        <color auto="1"/>
      </bottom>
      <diagonal/>
    </border>
    <border>
      <left style="thin">
        <color auto="1"/>
      </left>
      <right style="hair">
        <color auto="1"/>
      </right>
      <top style="thin">
        <color indexed="64"/>
      </top>
      <bottom style="hair">
        <color auto="1"/>
      </bottom>
      <diagonal/>
    </border>
  </borders>
  <cellStyleXfs count="4">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2" fillId="0" borderId="0" applyNumberFormat="0" applyFill="0" applyBorder="0" applyAlignment="0" applyProtection="0">
      <alignment vertical="center"/>
    </xf>
  </cellStyleXfs>
  <cellXfs count="387">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right" vertical="center"/>
    </xf>
    <xf numFmtId="0" fontId="2" fillId="0" borderId="0" xfId="0" applyFont="1" applyAlignment="1">
      <alignment horizontal="left" vertical="center" indent="1"/>
    </xf>
    <xf numFmtId="0" fontId="2" fillId="0" borderId="2" xfId="0" applyFont="1" applyBorder="1" applyAlignment="1">
      <alignment horizontal="right" vertical="center"/>
    </xf>
    <xf numFmtId="0" fontId="2" fillId="0" borderId="0" xfId="0" applyFont="1" applyAlignment="1">
      <alignment horizontal="left" vertical="center"/>
    </xf>
    <xf numFmtId="0" fontId="2" fillId="2" borderId="2" xfId="0" applyFont="1" applyFill="1" applyBorder="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2" fillId="0" borderId="7" xfId="0" applyFont="1" applyBorder="1">
      <alignment vertical="center"/>
    </xf>
    <xf numFmtId="38" fontId="2" fillId="2" borderId="3" xfId="2" applyFont="1" applyFill="1" applyBorder="1">
      <alignment vertical="center"/>
    </xf>
    <xf numFmtId="38" fontId="2" fillId="2" borderId="1" xfId="2" applyFont="1" applyFill="1" applyBorder="1">
      <alignment vertical="center"/>
    </xf>
    <xf numFmtId="38" fontId="2" fillId="2" borderId="10" xfId="2" applyFont="1" applyFill="1" applyBorder="1">
      <alignment vertical="center"/>
    </xf>
    <xf numFmtId="0" fontId="0" fillId="0" borderId="9" xfId="0" applyBorder="1">
      <alignment vertical="center"/>
    </xf>
    <xf numFmtId="38" fontId="2" fillId="2" borderId="9" xfId="2" applyFont="1" applyFill="1" applyBorder="1">
      <alignment vertical="center"/>
    </xf>
    <xf numFmtId="0" fontId="2" fillId="0" borderId="14" xfId="0" applyFont="1" applyBorder="1">
      <alignment vertical="center"/>
    </xf>
    <xf numFmtId="0" fontId="7" fillId="0" borderId="0" xfId="0" applyFont="1">
      <alignmen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2" fillId="0" borderId="1" xfId="0" applyFont="1" applyBorder="1" applyAlignment="1">
      <alignment horizontal="left" vertical="center" indent="1"/>
    </xf>
    <xf numFmtId="0" fontId="2" fillId="0" borderId="7" xfId="0" applyFont="1" applyBorder="1" applyAlignment="1">
      <alignment horizontal="left" vertical="center" indent="1"/>
    </xf>
    <xf numFmtId="0" fontId="2" fillId="0" borderId="7" xfId="0" applyFont="1" applyBorder="1" applyAlignment="1">
      <alignment horizontal="left" vertical="center"/>
    </xf>
    <xf numFmtId="0" fontId="3" fillId="0" borderId="0" xfId="0" applyFont="1" applyAlignment="1">
      <alignment horizontal="center" vertical="center"/>
    </xf>
    <xf numFmtId="0" fontId="2" fillId="0" borderId="1" xfId="0" applyFont="1" applyBorder="1">
      <alignment vertical="center"/>
    </xf>
    <xf numFmtId="0" fontId="4" fillId="0" borderId="1" xfId="0" applyFont="1" applyBorder="1">
      <alignment vertical="center"/>
    </xf>
    <xf numFmtId="0" fontId="8" fillId="0" borderId="1" xfId="0" applyFont="1" applyBorder="1">
      <alignment vertical="center"/>
    </xf>
    <xf numFmtId="0" fontId="0" fillId="0" borderId="1" xfId="0" applyBorder="1" applyAlignment="1">
      <alignment horizontal="left" vertical="center"/>
    </xf>
    <xf numFmtId="0" fontId="3" fillId="0" borderId="0" xfId="0" applyFont="1" applyAlignment="1">
      <alignment horizontal="right" vertical="center"/>
    </xf>
    <xf numFmtId="0" fontId="4" fillId="2" borderId="1" xfId="0" applyFont="1" applyFill="1" applyBorder="1">
      <alignment vertical="center"/>
    </xf>
    <xf numFmtId="0" fontId="2" fillId="2" borderId="1" xfId="0" applyFont="1" applyFill="1" applyBorder="1">
      <alignment vertical="center"/>
    </xf>
    <xf numFmtId="0" fontId="2" fillId="0" borderId="13" xfId="0" applyFont="1" applyBorder="1">
      <alignment vertical="center"/>
    </xf>
    <xf numFmtId="0" fontId="2" fillId="0" borderId="13" xfId="0" applyFont="1" applyBorder="1" applyAlignment="1">
      <alignment horizontal="right" vertical="center"/>
    </xf>
    <xf numFmtId="0" fontId="2" fillId="0" borderId="0" xfId="0" applyFont="1" applyAlignment="1">
      <alignment horizontal="centerContinuous" vertical="center"/>
    </xf>
    <xf numFmtId="0" fontId="2" fillId="2" borderId="2" xfId="0" applyFont="1" applyFill="1" applyBorder="1" applyAlignment="1">
      <alignment vertical="center" wrapText="1"/>
    </xf>
    <xf numFmtId="0" fontId="2" fillId="2" borderId="13" xfId="0" applyFont="1" applyFill="1" applyBorder="1" applyAlignment="1">
      <alignment horizontal="right" vertical="center"/>
    </xf>
    <xf numFmtId="0" fontId="2" fillId="2" borderId="13" xfId="0" applyFont="1" applyFill="1" applyBorder="1" applyAlignment="1">
      <alignment vertical="center" wrapText="1"/>
    </xf>
    <xf numFmtId="0" fontId="2" fillId="2" borderId="4" xfId="0" applyFont="1" applyFill="1" applyBorder="1">
      <alignment vertical="center"/>
    </xf>
    <xf numFmtId="0" fontId="2" fillId="0" borderId="13" xfId="0" applyFont="1" applyBorder="1" applyAlignment="1">
      <alignment horizontal="left" vertical="center"/>
    </xf>
    <xf numFmtId="0" fontId="9" fillId="0" borderId="0" xfId="0" applyFont="1">
      <alignmen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3" fillId="0" borderId="0" xfId="0" applyFont="1" applyAlignment="1">
      <alignment horizontal="left" indent="1"/>
    </xf>
    <xf numFmtId="0" fontId="3" fillId="0" borderId="7" xfId="0" applyFont="1" applyBorder="1" applyAlignment="1">
      <alignment horizontal="left" indent="1"/>
    </xf>
    <xf numFmtId="10" fontId="2" fillId="0" borderId="0" xfId="1" applyNumberFormat="1" applyFont="1">
      <alignment vertical="center"/>
    </xf>
    <xf numFmtId="10" fontId="2" fillId="2" borderId="1" xfId="1" applyNumberFormat="1" applyFont="1" applyFill="1" applyBorder="1">
      <alignment vertical="center"/>
    </xf>
    <xf numFmtId="10" fontId="2" fillId="2" borderId="9" xfId="1" applyNumberFormat="1" applyFont="1" applyFill="1" applyBorder="1">
      <alignment vertical="center"/>
    </xf>
    <xf numFmtId="0" fontId="10" fillId="2" borderId="1" xfId="0" applyFont="1" applyFill="1" applyBorder="1" applyAlignment="1">
      <alignment horizontal="center" vertical="center" shrinkToFit="1"/>
    </xf>
    <xf numFmtId="0" fontId="11" fillId="0" borderId="0" xfId="0" applyFont="1" applyAlignment="1"/>
    <xf numFmtId="0" fontId="2" fillId="0" borderId="7" xfId="0" applyFont="1" applyBorder="1" applyAlignment="1">
      <alignment horizontal="right" vertical="center"/>
    </xf>
    <xf numFmtId="0" fontId="3" fillId="0" borderId="0" xfId="0" applyFont="1" applyAlignment="1"/>
    <xf numFmtId="0" fontId="0" fillId="0" borderId="6" xfId="0" applyBorder="1" applyAlignment="1">
      <alignment horizontal="center" vertical="center"/>
    </xf>
    <xf numFmtId="0" fontId="2" fillId="0" borderId="8" xfId="0" applyFont="1" applyBorder="1" applyAlignment="1">
      <alignment horizontal="left" vertical="center"/>
    </xf>
    <xf numFmtId="0" fontId="2" fillId="0" borderId="11" xfId="0" applyFont="1" applyBorder="1">
      <alignment vertical="center"/>
    </xf>
    <xf numFmtId="0" fontId="0" fillId="0" borderId="8" xfId="0" applyBorder="1" applyAlignment="1">
      <alignment horizontal="left" vertical="center"/>
    </xf>
    <xf numFmtId="0" fontId="2" fillId="2" borderId="1" xfId="0" applyFont="1" applyFill="1" applyBorder="1" applyAlignment="1">
      <alignment horizontal="center" vertical="center"/>
    </xf>
    <xf numFmtId="0" fontId="0" fillId="0" borderId="4" xfId="0" applyBorder="1">
      <alignment vertical="center"/>
    </xf>
    <xf numFmtId="0" fontId="0" fillId="0" borderId="1" xfId="0" applyBorder="1">
      <alignment vertical="center"/>
    </xf>
    <xf numFmtId="0" fontId="0" fillId="0" borderId="20" xfId="0" applyBorder="1">
      <alignment vertical="center"/>
    </xf>
    <xf numFmtId="0" fontId="0" fillId="0" borderId="8" xfId="0" applyBorder="1">
      <alignment vertical="center"/>
    </xf>
    <xf numFmtId="178" fontId="3" fillId="2" borderId="1" xfId="0" applyNumberFormat="1" applyFont="1" applyFill="1" applyBorder="1" applyAlignment="1">
      <alignment horizontal="center" vertical="center"/>
    </xf>
    <xf numFmtId="176" fontId="3" fillId="2" borderId="4" xfId="0" applyNumberFormat="1" applyFont="1" applyFill="1" applyBorder="1" applyAlignment="1">
      <alignment horizontal="center" vertical="center"/>
    </xf>
    <xf numFmtId="0" fontId="12" fillId="0" borderId="0" xfId="3">
      <alignment vertical="center"/>
    </xf>
    <xf numFmtId="0" fontId="3" fillId="0" borderId="0" xfId="0" applyFont="1" applyAlignment="1">
      <alignment horizontal="left" vertical="center" indent="1"/>
    </xf>
    <xf numFmtId="0" fontId="13" fillId="0" borderId="0" xfId="0" applyFont="1">
      <alignment vertical="center"/>
    </xf>
    <xf numFmtId="0" fontId="14" fillId="0" borderId="0" xfId="0" applyFont="1">
      <alignment vertical="center"/>
    </xf>
    <xf numFmtId="0" fontId="2" fillId="0" borderId="0" xfId="0" applyFont="1" applyAlignment="1"/>
    <xf numFmtId="38" fontId="2" fillId="2" borderId="3" xfId="2" applyFont="1" applyFill="1" applyBorder="1" applyProtection="1">
      <alignment vertical="center"/>
    </xf>
    <xf numFmtId="38" fontId="2" fillId="2" borderId="1" xfId="2" applyFont="1" applyFill="1" applyBorder="1" applyProtection="1">
      <alignment vertical="center"/>
    </xf>
    <xf numFmtId="38" fontId="2" fillId="2" borderId="9" xfId="2" applyFont="1" applyFill="1" applyBorder="1" applyProtection="1">
      <alignment vertical="center"/>
    </xf>
    <xf numFmtId="0" fontId="13" fillId="0" borderId="13" xfId="0" applyFont="1" applyBorder="1">
      <alignment vertical="center"/>
    </xf>
    <xf numFmtId="0" fontId="15" fillId="0" borderId="0" xfId="0" applyFont="1">
      <alignment vertical="center"/>
    </xf>
    <xf numFmtId="0" fontId="3" fillId="2" borderId="4" xfId="0" applyFont="1" applyFill="1" applyBorder="1" applyAlignment="1">
      <alignment horizontal="left" vertical="center" indent="1"/>
    </xf>
    <xf numFmtId="0" fontId="3" fillId="2" borderId="15" xfId="0" applyFont="1" applyFill="1" applyBorder="1" applyAlignment="1">
      <alignment horizontal="centerContinuous" vertical="center" wrapText="1"/>
    </xf>
    <xf numFmtId="0" fontId="3" fillId="2" borderId="3" xfId="0" applyFont="1" applyFill="1" applyBorder="1" applyAlignment="1">
      <alignment horizontal="centerContinuous" vertical="center" wrapText="1"/>
    </xf>
    <xf numFmtId="0" fontId="3" fillId="2" borderId="4" xfId="0" applyFont="1" applyFill="1" applyBorder="1" applyAlignment="1">
      <alignment vertical="center" wrapText="1"/>
    </xf>
    <xf numFmtId="0" fontId="3" fillId="2" borderId="21" xfId="0" applyFont="1" applyFill="1" applyBorder="1" applyAlignment="1">
      <alignment vertical="center" wrapText="1"/>
    </xf>
    <xf numFmtId="0" fontId="3" fillId="2" borderId="22" xfId="0" applyFont="1" applyFill="1" applyBorder="1" applyAlignment="1">
      <alignment vertical="center" wrapText="1"/>
    </xf>
    <xf numFmtId="0" fontId="2" fillId="0" borderId="4" xfId="0" applyFont="1" applyBorder="1" applyAlignment="1">
      <alignment horizontal="left" vertical="center" indent="1"/>
    </xf>
    <xf numFmtId="0" fontId="4" fillId="0" borderId="1" xfId="0" applyFont="1" applyBorder="1" applyAlignment="1">
      <alignment horizontal="left" vertical="center" indent="1"/>
    </xf>
    <xf numFmtId="38" fontId="2" fillId="0" borderId="1" xfId="2" applyFont="1" applyFill="1" applyBorder="1">
      <alignment vertical="center"/>
    </xf>
    <xf numFmtId="0" fontId="2" fillId="0" borderId="23" xfId="0" applyFont="1" applyBorder="1" applyAlignment="1">
      <alignment vertical="center" wrapText="1"/>
    </xf>
    <xf numFmtId="0" fontId="16" fillId="0" borderId="20" xfId="0" applyFont="1" applyBorder="1" applyAlignment="1">
      <alignment horizontal="left" vertical="center" indent="1"/>
    </xf>
    <xf numFmtId="0" fontId="16" fillId="0" borderId="8" xfId="0" applyFont="1" applyBorder="1" applyAlignment="1">
      <alignment horizontal="left" vertical="center" indent="1"/>
    </xf>
    <xf numFmtId="0" fontId="2" fillId="2" borderId="4" xfId="0" applyFont="1" applyFill="1" applyBorder="1" applyAlignment="1">
      <alignment horizontal="left" vertical="center" indent="1"/>
    </xf>
    <xf numFmtId="0" fontId="4" fillId="2" borderId="1" xfId="0" applyFont="1" applyFill="1" applyBorder="1" applyAlignment="1">
      <alignment horizontal="left" vertical="center" indent="1"/>
    </xf>
    <xf numFmtId="0" fontId="2" fillId="2" borderId="23" xfId="0" applyFont="1" applyFill="1" applyBorder="1" applyAlignment="1">
      <alignment vertical="center" wrapText="1"/>
    </xf>
    <xf numFmtId="38" fontId="2" fillId="2" borderId="24" xfId="2" applyFont="1" applyFill="1" applyBorder="1">
      <alignment vertical="center"/>
    </xf>
    <xf numFmtId="0" fontId="2" fillId="0" borderId="21" xfId="0" applyFont="1" applyBorder="1" applyAlignment="1">
      <alignment vertical="center" wrapText="1"/>
    </xf>
    <xf numFmtId="0" fontId="16" fillId="0" borderId="25" xfId="0" applyFont="1" applyBorder="1" applyAlignment="1">
      <alignment horizontal="left" vertical="center" indent="1"/>
    </xf>
    <xf numFmtId="0" fontId="2" fillId="2" borderId="26" xfId="0" applyFont="1" applyFill="1" applyBorder="1" applyAlignment="1">
      <alignment horizontal="left" vertical="center" indent="1"/>
    </xf>
    <xf numFmtId="0" fontId="2" fillId="2" borderId="21" xfId="0" applyFont="1" applyFill="1" applyBorder="1" applyAlignment="1">
      <alignment vertical="center" wrapText="1"/>
    </xf>
    <xf numFmtId="0" fontId="2" fillId="0" borderId="20" xfId="0" applyFont="1" applyBorder="1" applyAlignment="1">
      <alignment horizontal="left" vertical="center" indent="1"/>
    </xf>
    <xf numFmtId="0" fontId="2" fillId="2" borderId="8" xfId="0" applyFont="1" applyFill="1" applyBorder="1" applyAlignment="1">
      <alignment horizontal="left" vertical="center" indent="1"/>
    </xf>
    <xf numFmtId="38" fontId="2" fillId="2" borderId="27" xfId="2" applyFont="1" applyFill="1" applyBorder="1">
      <alignment vertical="center"/>
    </xf>
    <xf numFmtId="0" fontId="2" fillId="2" borderId="28" xfId="0" applyFont="1" applyFill="1" applyBorder="1" applyAlignment="1">
      <alignment vertical="center" wrapText="1"/>
    </xf>
    <xf numFmtId="0" fontId="2" fillId="2" borderId="1" xfId="0" applyFont="1" applyFill="1" applyBorder="1" applyAlignment="1">
      <alignment horizontal="left" vertical="center" indent="1"/>
    </xf>
    <xf numFmtId="0" fontId="3" fillId="4" borderId="1" xfId="0" applyFont="1" applyFill="1" applyBorder="1" applyAlignment="1">
      <alignment horizontal="left" vertical="center" indent="1"/>
    </xf>
    <xf numFmtId="0" fontId="17" fillId="4" borderId="1" xfId="0" applyFont="1" applyFill="1" applyBorder="1" applyAlignment="1">
      <alignment horizontal="left" vertical="center" indent="1"/>
    </xf>
    <xf numFmtId="38" fontId="3" fillId="4" borderId="1" xfId="2" applyFont="1" applyFill="1" applyBorder="1">
      <alignment vertical="center"/>
    </xf>
    <xf numFmtId="0" fontId="3" fillId="4" borderId="23" xfId="0" applyFont="1" applyFill="1" applyBorder="1" applyAlignment="1">
      <alignment vertical="center" wrapText="1"/>
    </xf>
    <xf numFmtId="38" fontId="3" fillId="4" borderId="24" xfId="2" applyFont="1" applyFill="1" applyBorder="1">
      <alignment vertical="center"/>
    </xf>
    <xf numFmtId="49" fontId="0" fillId="3" borderId="1" xfId="0" applyNumberFormat="1" applyFill="1" applyBorder="1" applyAlignment="1" applyProtection="1">
      <alignment horizontal="left" vertical="center"/>
      <protection locked="0"/>
    </xf>
    <xf numFmtId="38" fontId="2" fillId="3" borderId="1" xfId="2" applyFont="1" applyFill="1" applyBorder="1" applyProtection="1">
      <alignment vertical="center"/>
      <protection locked="0"/>
    </xf>
    <xf numFmtId="0" fontId="2" fillId="3" borderId="23" xfId="0" applyFont="1" applyFill="1" applyBorder="1" applyAlignment="1" applyProtection="1">
      <alignment vertical="center" wrapText="1"/>
      <protection locked="0"/>
    </xf>
    <xf numFmtId="38" fontId="2" fillId="3" borderId="4" xfId="2" applyFont="1" applyFill="1" applyBorder="1" applyProtection="1">
      <alignment vertical="center"/>
      <protection locked="0"/>
    </xf>
    <xf numFmtId="0" fontId="2" fillId="3" borderId="21" xfId="0" applyFont="1" applyFill="1" applyBorder="1" applyAlignment="1" applyProtection="1">
      <alignment vertical="center" wrapText="1"/>
      <protection locked="0"/>
    </xf>
    <xf numFmtId="38" fontId="2" fillId="3" borderId="24" xfId="2" applyFont="1" applyFill="1" applyBorder="1" applyProtection="1">
      <alignment vertical="center"/>
      <protection locked="0"/>
    </xf>
    <xf numFmtId="38" fontId="2" fillId="3" borderId="22" xfId="2" applyFont="1" applyFill="1" applyBorder="1" applyProtection="1">
      <alignment vertical="center"/>
      <protection locked="0"/>
    </xf>
    <xf numFmtId="38" fontId="2" fillId="0" borderId="0" xfId="0" applyNumberFormat="1" applyFont="1">
      <alignment vertical="center"/>
    </xf>
    <xf numFmtId="0" fontId="18" fillId="0" borderId="0" xfId="0" applyFont="1">
      <alignment vertical="center"/>
    </xf>
    <xf numFmtId="0" fontId="12" fillId="0" borderId="0" xfId="3" applyBorder="1" applyAlignment="1">
      <alignment horizontal="left" vertical="center" indent="1"/>
    </xf>
    <xf numFmtId="38" fontId="3" fillId="0" borderId="1" xfId="2" applyFont="1" applyFill="1" applyBorder="1">
      <alignment vertical="center"/>
    </xf>
    <xf numFmtId="0" fontId="3" fillId="0" borderId="23" xfId="0" applyFont="1" applyBorder="1" applyAlignment="1">
      <alignment vertical="center" wrapText="1"/>
    </xf>
    <xf numFmtId="0" fontId="4" fillId="0" borderId="12" xfId="0" applyFont="1" applyBorder="1" applyAlignment="1">
      <alignment horizontal="left" vertical="center" indent="1"/>
    </xf>
    <xf numFmtId="0" fontId="3" fillId="0" borderId="2" xfId="0" applyFont="1" applyBorder="1" applyAlignment="1">
      <alignment horizontal="left" vertical="center" indent="1"/>
    </xf>
    <xf numFmtId="0" fontId="17" fillId="0" borderId="3" xfId="0" applyFont="1" applyBorder="1" applyAlignment="1">
      <alignment horizontal="left" vertical="center" indent="1"/>
    </xf>
    <xf numFmtId="0" fontId="13" fillId="0" borderId="0" xfId="0" applyFont="1" applyAlignment="1">
      <alignment horizontal="left" vertical="center" indent="1"/>
    </xf>
    <xf numFmtId="0" fontId="4" fillId="2" borderId="8" xfId="0" applyFont="1" applyFill="1" applyBorder="1" applyAlignment="1">
      <alignment horizontal="left" vertical="center" indent="1"/>
    </xf>
    <xf numFmtId="0" fontId="4" fillId="2" borderId="26" xfId="0" applyFont="1" applyFill="1" applyBorder="1" applyAlignment="1">
      <alignment horizontal="left" vertical="center" indent="1"/>
    </xf>
    <xf numFmtId="0" fontId="4" fillId="0" borderId="13" xfId="0" applyFont="1" applyBorder="1">
      <alignment vertical="center"/>
    </xf>
    <xf numFmtId="0" fontId="10" fillId="0" borderId="0" xfId="0" applyFont="1" applyAlignment="1"/>
    <xf numFmtId="10" fontId="10" fillId="2" borderId="1" xfId="1" applyNumberFormat="1" applyFont="1" applyFill="1" applyBorder="1" applyAlignment="1">
      <alignment horizontal="center" vertical="center"/>
    </xf>
    <xf numFmtId="0" fontId="0" fillId="0" borderId="3" xfId="0" applyBorder="1">
      <alignment vertical="center"/>
    </xf>
    <xf numFmtId="0" fontId="13" fillId="0" borderId="0" xfId="0" applyFont="1" applyAlignment="1">
      <alignment horizontal="left" indent="1"/>
    </xf>
    <xf numFmtId="0" fontId="2" fillId="2" borderId="16" xfId="0" applyFont="1" applyFill="1" applyBorder="1" applyAlignment="1">
      <alignment horizontal="right" vertical="center"/>
    </xf>
    <xf numFmtId="0" fontId="2" fillId="2" borderId="18" xfId="0" applyFont="1" applyFill="1" applyBorder="1" applyAlignment="1">
      <alignment horizontal="left" vertical="center"/>
    </xf>
    <xf numFmtId="0" fontId="3" fillId="2" borderId="19" xfId="0" applyFont="1" applyFill="1" applyBorder="1">
      <alignment vertical="center"/>
    </xf>
    <xf numFmtId="10" fontId="10" fillId="2" borderId="9" xfId="1" applyNumberFormat="1" applyFont="1" applyFill="1" applyBorder="1" applyAlignment="1">
      <alignment horizontal="center" vertical="center"/>
    </xf>
    <xf numFmtId="0" fontId="3" fillId="2" borderId="1" xfId="0" applyFont="1" applyFill="1" applyBorder="1" applyAlignment="1">
      <alignment horizontal="centerContinuous" vertical="center"/>
    </xf>
    <xf numFmtId="180" fontId="3" fillId="2" borderId="1" xfId="0" applyNumberFormat="1" applyFont="1" applyFill="1" applyBorder="1" applyAlignment="1">
      <alignment horizontal="center" vertical="center" shrinkToFit="1"/>
    </xf>
    <xf numFmtId="0" fontId="14" fillId="0" borderId="16" xfId="0" applyFont="1" applyBorder="1">
      <alignment vertical="center"/>
    </xf>
    <xf numFmtId="0" fontId="20" fillId="0" borderId="0" xfId="0" applyFont="1">
      <alignment vertical="center"/>
    </xf>
    <xf numFmtId="0" fontId="2" fillId="0" borderId="17" xfId="0" applyFont="1" applyBorder="1">
      <alignment vertical="center"/>
    </xf>
    <xf numFmtId="177" fontId="0" fillId="3" borderId="1" xfId="0" applyNumberFormat="1" applyFill="1" applyBorder="1" applyAlignment="1" applyProtection="1">
      <alignment horizontal="left" vertical="center"/>
      <protection locked="0"/>
    </xf>
    <xf numFmtId="38" fontId="2" fillId="3" borderId="3" xfId="2" applyFont="1" applyFill="1" applyBorder="1" applyProtection="1">
      <alignment vertical="center"/>
      <protection locked="0"/>
    </xf>
    <xf numFmtId="38" fontId="2" fillId="3" borderId="9" xfId="2" applyFont="1" applyFill="1" applyBorder="1" applyProtection="1">
      <alignment vertical="center"/>
      <protection locked="0"/>
    </xf>
    <xf numFmtId="0" fontId="2" fillId="3" borderId="3" xfId="0" applyFont="1" applyFill="1" applyBorder="1" applyProtection="1">
      <alignment vertical="center"/>
      <protection locked="0"/>
    </xf>
    <xf numFmtId="0" fontId="2" fillId="3" borderId="1" xfId="0" applyFont="1" applyFill="1" applyBorder="1" applyAlignment="1" applyProtection="1">
      <alignment horizontal="left" vertical="center"/>
      <protection locked="0"/>
    </xf>
    <xf numFmtId="10" fontId="2" fillId="3" borderId="3" xfId="1" applyNumberFormat="1" applyFont="1" applyFill="1" applyBorder="1" applyProtection="1">
      <alignment vertical="center"/>
      <protection locked="0"/>
    </xf>
    <xf numFmtId="0" fontId="2" fillId="3" borderId="1" xfId="0" applyFont="1" applyFill="1" applyBorder="1" applyProtection="1">
      <alignment vertical="center"/>
      <protection locked="0"/>
    </xf>
    <xf numFmtId="0" fontId="0" fillId="3" borderId="8" xfId="0" applyFill="1" applyBorder="1" applyAlignment="1" applyProtection="1">
      <alignment horizontal="left" vertical="center"/>
      <protection locked="0"/>
    </xf>
    <xf numFmtId="0" fontId="0" fillId="3" borderId="1" xfId="0" applyFill="1" applyBorder="1" applyAlignment="1" applyProtection="1">
      <alignment horizontal="left" vertical="center"/>
      <protection locked="0"/>
    </xf>
    <xf numFmtId="0" fontId="3" fillId="2" borderId="4" xfId="0" applyFont="1" applyFill="1" applyBorder="1" applyAlignment="1">
      <alignment horizontal="centerContinuous" vertical="center"/>
    </xf>
    <xf numFmtId="0" fontId="2" fillId="2" borderId="4" xfId="0" applyFont="1" applyFill="1" applyBorder="1" applyAlignment="1">
      <alignment horizontal="centerContinuous" vertical="center"/>
    </xf>
    <xf numFmtId="0" fontId="2" fillId="2" borderId="21" xfId="0" applyFont="1" applyFill="1" applyBorder="1" applyAlignment="1">
      <alignment horizontal="centerContinuous" vertical="center"/>
    </xf>
    <xf numFmtId="0" fontId="3" fillId="2" borderId="22" xfId="0" applyFont="1" applyFill="1" applyBorder="1" applyAlignment="1">
      <alignment horizontal="centerContinuous" vertical="center"/>
    </xf>
    <xf numFmtId="0" fontId="14" fillId="0" borderId="7" xfId="0" applyFont="1" applyBorder="1">
      <alignment vertical="center"/>
    </xf>
    <xf numFmtId="0" fontId="0" fillId="0" borderId="7" xfId="0" applyBorder="1">
      <alignment vertical="center"/>
    </xf>
    <xf numFmtId="0" fontId="0" fillId="0" borderId="8" xfId="0" applyBorder="1" applyAlignment="1">
      <alignment vertical="center" wrapText="1"/>
    </xf>
    <xf numFmtId="49" fontId="2" fillId="3" borderId="1" xfId="0" applyNumberFormat="1" applyFont="1" applyFill="1" applyBorder="1" applyProtection="1">
      <alignment vertical="center"/>
      <protection locked="0"/>
    </xf>
    <xf numFmtId="38" fontId="2" fillId="3" borderId="1" xfId="2" quotePrefix="1" applyFont="1" applyFill="1" applyBorder="1" applyProtection="1">
      <alignment vertical="center"/>
      <protection locked="0"/>
    </xf>
    <xf numFmtId="38" fontId="2" fillId="3" borderId="3" xfId="2" quotePrefix="1" applyFont="1" applyFill="1" applyBorder="1" applyProtection="1">
      <alignment vertical="center"/>
      <protection locked="0"/>
    </xf>
    <xf numFmtId="0" fontId="2" fillId="0" borderId="9" xfId="0" applyFont="1" applyBorder="1">
      <alignment vertical="center"/>
    </xf>
    <xf numFmtId="0" fontId="21" fillId="0" borderId="9" xfId="0" applyFont="1" applyBorder="1">
      <alignment vertical="center"/>
    </xf>
    <xf numFmtId="0" fontId="2" fillId="0" borderId="29" xfId="0" applyFont="1" applyBorder="1" applyAlignment="1">
      <alignment horizontal="right" vertical="center"/>
    </xf>
    <xf numFmtId="0" fontId="3" fillId="2" borderId="30" xfId="0" applyFont="1" applyFill="1" applyBorder="1">
      <alignment vertical="center"/>
    </xf>
    <xf numFmtId="0" fontId="3" fillId="2" borderId="31" xfId="0" applyFont="1" applyFill="1" applyBorder="1">
      <alignment vertical="center"/>
    </xf>
    <xf numFmtId="0" fontId="3" fillId="2" borderId="32" xfId="0" applyFont="1" applyFill="1" applyBorder="1">
      <alignment vertical="center"/>
    </xf>
    <xf numFmtId="0" fontId="3" fillId="2" borderId="32" xfId="0" applyFont="1" applyFill="1" applyBorder="1" applyAlignment="1">
      <alignment vertical="center" shrinkToFit="1"/>
    </xf>
    <xf numFmtId="0" fontId="22" fillId="0" borderId="1" xfId="0" applyFont="1" applyBorder="1">
      <alignmen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22" fillId="0" borderId="35" xfId="0" applyFont="1" applyBorder="1">
      <alignment vertical="center"/>
    </xf>
    <xf numFmtId="0" fontId="0" fillId="0" borderId="12" xfId="0" applyBorder="1">
      <alignment vertical="center"/>
    </xf>
    <xf numFmtId="0" fontId="0" fillId="0" borderId="11" xfId="0" applyBorder="1">
      <alignment vertical="center"/>
    </xf>
    <xf numFmtId="0" fontId="22" fillId="0" borderId="8" xfId="0" applyFont="1" applyBorder="1">
      <alignment vertical="center"/>
    </xf>
    <xf numFmtId="0" fontId="0" fillId="0" borderId="1" xfId="0" applyBorder="1" applyAlignment="1">
      <alignment vertical="center" wrapText="1"/>
    </xf>
    <xf numFmtId="0" fontId="22" fillId="0" borderId="7" xfId="0" applyFont="1" applyBorder="1">
      <alignment vertical="center"/>
    </xf>
    <xf numFmtId="0" fontId="0" fillId="0" borderId="15" xfId="0" applyBorder="1">
      <alignment vertical="center"/>
    </xf>
    <xf numFmtId="0" fontId="0" fillId="0" borderId="5" xfId="0" applyBorder="1">
      <alignment vertical="center"/>
    </xf>
    <xf numFmtId="0" fontId="22" fillId="0" borderId="4" xfId="0" applyFont="1" applyBorder="1">
      <alignment vertical="center"/>
    </xf>
    <xf numFmtId="0" fontId="0" fillId="0" borderId="36" xfId="0" applyBorder="1">
      <alignment vertical="center"/>
    </xf>
    <xf numFmtId="0" fontId="0" fillId="0" borderId="37" xfId="0" applyBorder="1">
      <alignment vertical="center"/>
    </xf>
    <xf numFmtId="0" fontId="0" fillId="0" borderId="38" xfId="0" applyBorder="1" applyAlignment="1">
      <alignment vertical="center" wrapText="1"/>
    </xf>
    <xf numFmtId="0" fontId="22" fillId="0" borderId="38" xfId="0" applyFont="1" applyBorder="1">
      <alignment vertical="center"/>
    </xf>
    <xf numFmtId="0" fontId="23" fillId="0" borderId="16" xfId="0" applyFont="1" applyBorder="1">
      <alignment vertical="center"/>
    </xf>
    <xf numFmtId="0" fontId="4" fillId="2" borderId="2" xfId="0" applyFont="1" applyFill="1" applyBorder="1" applyAlignment="1">
      <alignment vertical="center" wrapText="1"/>
    </xf>
    <xf numFmtId="0" fontId="13" fillId="0" borderId="7" xfId="0" applyFont="1" applyBorder="1">
      <alignment vertical="center"/>
    </xf>
    <xf numFmtId="0" fontId="3" fillId="2" borderId="2" xfId="0" applyFont="1" applyFill="1" applyBorder="1" applyAlignment="1">
      <alignment horizontal="right" vertical="center"/>
    </xf>
    <xf numFmtId="0" fontId="3" fillId="2" borderId="9" xfId="0" applyFont="1" applyFill="1" applyBorder="1" applyAlignment="1">
      <alignment vertical="center" shrinkToFit="1"/>
    </xf>
    <xf numFmtId="0" fontId="24" fillId="2" borderId="2" xfId="0" applyFont="1" applyFill="1" applyBorder="1">
      <alignment vertical="center"/>
    </xf>
    <xf numFmtId="0" fontId="2" fillId="2" borderId="2" xfId="0" applyFont="1" applyFill="1" applyBorder="1" applyAlignment="1">
      <alignment vertical="center" shrinkToFit="1"/>
    </xf>
    <xf numFmtId="0" fontId="2" fillId="0" borderId="2" xfId="0" applyFont="1" applyBorder="1">
      <alignment vertical="center"/>
    </xf>
    <xf numFmtId="0" fontId="2" fillId="2" borderId="5" xfId="0" applyFont="1" applyFill="1" applyBorder="1" applyAlignment="1">
      <alignment vertical="center" wrapText="1"/>
    </xf>
    <xf numFmtId="0" fontId="21" fillId="0" borderId="15" xfId="0" applyFont="1" applyBorder="1">
      <alignment vertical="center"/>
    </xf>
    <xf numFmtId="0" fontId="2" fillId="2" borderId="7" xfId="0" applyFont="1" applyFill="1" applyBorder="1" applyAlignment="1">
      <alignment vertical="center" wrapText="1"/>
    </xf>
    <xf numFmtId="180" fontId="2" fillId="2" borderId="1" xfId="0" applyNumberFormat="1" applyFont="1" applyFill="1" applyBorder="1" applyAlignment="1">
      <alignment horizontal="center" vertical="center" shrinkToFit="1"/>
    </xf>
    <xf numFmtId="0" fontId="4" fillId="2" borderId="2" xfId="0" applyFont="1" applyFill="1" applyBorder="1">
      <alignment vertical="center"/>
    </xf>
    <xf numFmtId="0" fontId="17" fillId="0" borderId="0" xfId="0" applyFont="1" applyAlignment="1">
      <alignment horizontal="right" vertical="center"/>
    </xf>
    <xf numFmtId="0" fontId="4" fillId="0" borderId="12" xfId="0" applyFont="1" applyBorder="1">
      <alignment vertical="center"/>
    </xf>
    <xf numFmtId="0" fontId="10" fillId="2" borderId="1" xfId="0" applyFont="1" applyFill="1" applyBorder="1" applyAlignment="1">
      <alignment horizontal="center" vertical="center" wrapText="1" shrinkToFit="1"/>
    </xf>
    <xf numFmtId="0" fontId="10" fillId="0" borderId="7" xfId="0" applyFont="1" applyBorder="1" applyAlignment="1">
      <alignment horizontal="right" vertical="center"/>
    </xf>
    <xf numFmtId="0" fontId="25" fillId="0" borderId="0" xfId="0" applyFont="1">
      <alignment vertical="center"/>
    </xf>
    <xf numFmtId="0" fontId="4" fillId="0" borderId="9" xfId="0" applyFont="1" applyBorder="1" applyAlignment="1">
      <alignment vertical="center" wrapText="1"/>
    </xf>
    <xf numFmtId="0" fontId="4" fillId="0" borderId="9" xfId="0" applyFont="1" applyBorder="1">
      <alignment vertical="center"/>
    </xf>
    <xf numFmtId="0" fontId="4" fillId="0" borderId="3" xfId="0" applyFont="1" applyBorder="1">
      <alignment vertical="center"/>
    </xf>
    <xf numFmtId="0" fontId="4" fillId="0" borderId="2" xfId="0" applyFont="1" applyBorder="1">
      <alignment vertical="center"/>
    </xf>
    <xf numFmtId="0" fontId="4" fillId="0" borderId="3" xfId="0" applyFont="1" applyBorder="1" applyAlignment="1">
      <alignment vertical="center" wrapText="1"/>
    </xf>
    <xf numFmtId="0" fontId="4" fillId="0" borderId="2" xfId="0" applyFont="1" applyBorder="1" applyAlignment="1">
      <alignment vertical="center" wrapText="1"/>
    </xf>
    <xf numFmtId="0" fontId="4" fillId="0" borderId="20" xfId="0" applyFont="1" applyBorder="1">
      <alignment vertical="center"/>
    </xf>
    <xf numFmtId="0" fontId="2" fillId="0" borderId="5" xfId="0" applyFont="1" applyBorder="1" applyAlignment="1">
      <alignment vertical="center" wrapText="1"/>
    </xf>
    <xf numFmtId="0" fontId="2" fillId="0" borderId="7" xfId="0" applyFont="1" applyBorder="1" applyAlignment="1">
      <alignment vertical="center" wrapText="1"/>
    </xf>
    <xf numFmtId="0" fontId="2" fillId="0" borderId="11" xfId="0" applyFont="1" applyBorder="1" applyAlignment="1">
      <alignment vertical="center" wrapText="1"/>
    </xf>
    <xf numFmtId="0" fontId="2" fillId="0" borderId="13" xfId="0" applyFont="1" applyBorder="1" applyAlignment="1">
      <alignment vertical="center" shrinkToFit="1"/>
    </xf>
    <xf numFmtId="0" fontId="2" fillId="0" borderId="13" xfId="0" applyFont="1" applyBorder="1" applyAlignment="1">
      <alignment vertical="center" wrapText="1"/>
    </xf>
    <xf numFmtId="0" fontId="4" fillId="0" borderId="15" xfId="0" applyFont="1" applyBorder="1">
      <alignment vertical="center"/>
    </xf>
    <xf numFmtId="0" fontId="26" fillId="0" borderId="0" xfId="0" applyFont="1">
      <alignment vertical="center"/>
    </xf>
    <xf numFmtId="0" fontId="0" fillId="0" borderId="4" xfId="0"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9" xfId="0" applyFont="1" applyBorder="1" applyAlignment="1">
      <alignment vertical="center" wrapText="1"/>
    </xf>
    <xf numFmtId="0" fontId="2" fillId="0" borderId="20" xfId="0" applyFont="1" applyBorder="1">
      <alignment vertical="center"/>
    </xf>
    <xf numFmtId="49" fontId="19" fillId="0" borderId="0" xfId="0" applyNumberFormat="1" applyFont="1" applyProtection="1">
      <alignment vertical="center"/>
      <protection hidden="1"/>
    </xf>
    <xf numFmtId="0" fontId="2" fillId="0" borderId="3" xfId="0" applyFont="1" applyBorder="1">
      <alignment vertical="center"/>
    </xf>
    <xf numFmtId="0" fontId="2" fillId="2" borderId="3" xfId="0" applyFont="1" applyFill="1" applyBorder="1" applyAlignment="1">
      <alignment vertical="center" shrinkToFit="1"/>
    </xf>
    <xf numFmtId="0" fontId="4" fillId="0" borderId="39" xfId="0" applyFont="1" applyBorder="1">
      <alignment vertical="center"/>
    </xf>
    <xf numFmtId="49" fontId="12" fillId="3" borderId="1" xfId="3" applyNumberFormat="1" applyFill="1" applyBorder="1" applyAlignment="1" applyProtection="1">
      <alignment horizontal="left" vertical="center"/>
      <protection locked="0"/>
    </xf>
    <xf numFmtId="0" fontId="2" fillId="0" borderId="15"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vertical="center" wrapText="1"/>
    </xf>
    <xf numFmtId="49" fontId="0" fillId="0" borderId="0" xfId="0" applyNumberFormat="1">
      <alignment vertical="center"/>
    </xf>
    <xf numFmtId="0" fontId="2" fillId="0" borderId="20" xfId="0" applyFont="1" applyBorder="1" applyAlignment="1">
      <alignment horizontal="left" vertical="center"/>
    </xf>
    <xf numFmtId="0" fontId="17" fillId="2" borderId="1" xfId="0" applyFont="1" applyFill="1" applyBorder="1" applyAlignment="1">
      <alignment horizontal="center" vertical="center" shrinkToFit="1"/>
    </xf>
    <xf numFmtId="181" fontId="2" fillId="3" borderId="1" xfId="2" applyNumberFormat="1" applyFont="1" applyFill="1" applyBorder="1" applyProtection="1">
      <alignment vertical="center"/>
      <protection locked="0"/>
    </xf>
    <xf numFmtId="0" fontId="12" fillId="0" borderId="0" xfId="3" applyAlignment="1">
      <alignment horizontal="left" vertical="center" indent="1"/>
    </xf>
    <xf numFmtId="38" fontId="2" fillId="0" borderId="0" xfId="2" applyFont="1" applyAlignment="1">
      <alignment horizontal="right" vertical="center"/>
    </xf>
    <xf numFmtId="38" fontId="2" fillId="2" borderId="3" xfId="2" applyFont="1" applyFill="1" applyBorder="1" applyProtection="1">
      <alignment vertical="center"/>
      <protection locked="0"/>
    </xf>
    <xf numFmtId="38" fontId="2" fillId="2" borderId="1" xfId="2" applyFont="1" applyFill="1" applyBorder="1" applyProtection="1">
      <alignment vertical="center"/>
      <protection locked="0"/>
    </xf>
    <xf numFmtId="38" fontId="2" fillId="2" borderId="9" xfId="2" applyFont="1" applyFill="1" applyBorder="1" applyProtection="1">
      <alignment vertical="center"/>
      <protection locked="0"/>
    </xf>
    <xf numFmtId="181" fontId="2" fillId="2" borderId="3" xfId="2" applyNumberFormat="1" applyFont="1" applyFill="1" applyBorder="1" applyProtection="1">
      <alignment vertical="center"/>
      <protection locked="0"/>
    </xf>
    <xf numFmtId="181" fontId="2" fillId="2" borderId="1" xfId="2" applyNumberFormat="1" applyFont="1" applyFill="1" applyBorder="1" applyProtection="1">
      <alignment vertical="center"/>
      <protection locked="0"/>
    </xf>
    <xf numFmtId="181" fontId="2" fillId="2" borderId="9" xfId="2" applyNumberFormat="1" applyFont="1" applyFill="1" applyBorder="1" applyProtection="1">
      <alignment vertical="center"/>
      <protection locked="0"/>
    </xf>
    <xf numFmtId="0" fontId="2" fillId="2" borderId="0" xfId="0" applyFont="1" applyFill="1" applyAlignment="1">
      <alignment horizontal="left" vertical="center"/>
    </xf>
    <xf numFmtId="0" fontId="0" fillId="5" borderId="1" xfId="0" applyFill="1" applyBorder="1" applyAlignment="1" applyProtection="1">
      <alignment horizontal="left" vertical="center"/>
      <protection locked="0"/>
    </xf>
    <xf numFmtId="0" fontId="27" fillId="0" borderId="0" xfId="0" applyFont="1" applyAlignment="1">
      <alignment horizontal="left" vertical="center"/>
    </xf>
    <xf numFmtId="38" fontId="2" fillId="2" borderId="16" xfId="2" applyFont="1" applyFill="1" applyBorder="1" applyAlignment="1">
      <alignment horizontal="right" vertical="center"/>
    </xf>
    <xf numFmtId="38" fontId="2" fillId="2" borderId="18" xfId="2" applyFont="1" applyFill="1" applyBorder="1" applyAlignment="1">
      <alignment horizontal="left" vertical="center"/>
    </xf>
    <xf numFmtId="38" fontId="3" fillId="2" borderId="19" xfId="2" applyFont="1" applyFill="1" applyBorder="1">
      <alignment vertical="center"/>
    </xf>
    <xf numFmtId="38" fontId="2" fillId="0" borderId="0" xfId="2" applyFont="1">
      <alignment vertical="center"/>
    </xf>
    <xf numFmtId="38" fontId="2" fillId="0" borderId="7" xfId="2" applyFont="1" applyBorder="1" applyAlignment="1">
      <alignment horizontal="right" vertical="center"/>
    </xf>
    <xf numFmtId="38" fontId="0" fillId="0" borderId="8" xfId="2" applyFont="1" applyBorder="1" applyAlignment="1">
      <alignment horizontal="left" vertical="center"/>
    </xf>
    <xf numFmtId="38" fontId="0" fillId="0" borderId="1" xfId="2" applyFont="1" applyBorder="1" applyAlignment="1">
      <alignment horizontal="left" vertical="center"/>
    </xf>
    <xf numFmtId="38" fontId="2" fillId="3" borderId="1" xfId="2" applyFont="1" applyFill="1" applyBorder="1" applyAlignment="1" applyProtection="1">
      <alignment horizontal="left" vertical="center"/>
      <protection locked="0"/>
    </xf>
    <xf numFmtId="38" fontId="10" fillId="0" borderId="7" xfId="2" applyFont="1" applyBorder="1" applyAlignment="1">
      <alignment horizontal="right" vertical="center"/>
    </xf>
    <xf numFmtId="38" fontId="10" fillId="2" borderId="1" xfId="2" applyFont="1" applyFill="1" applyBorder="1" applyAlignment="1">
      <alignment horizontal="center" vertical="center" wrapText="1" shrinkToFit="1"/>
    </xf>
    <xf numFmtId="38" fontId="10" fillId="2" borderId="1" xfId="2" applyFont="1" applyFill="1" applyBorder="1" applyAlignment="1">
      <alignment horizontal="center" vertical="center" shrinkToFit="1"/>
    </xf>
    <xf numFmtId="38" fontId="2" fillId="0" borderId="1" xfId="2" applyFont="1" applyBorder="1" applyAlignment="1">
      <alignment horizontal="left" vertical="center"/>
    </xf>
    <xf numFmtId="38" fontId="2" fillId="0" borderId="0" xfId="2" applyFont="1" applyAlignment="1">
      <alignment horizontal="left" vertical="center"/>
    </xf>
    <xf numFmtId="38" fontId="10" fillId="2" borderId="1" xfId="2" applyFont="1" applyFill="1" applyBorder="1" applyAlignment="1">
      <alignment horizontal="center" vertical="center"/>
    </xf>
    <xf numFmtId="38" fontId="10" fillId="2" borderId="9" xfId="2" applyFont="1" applyFill="1" applyBorder="1" applyAlignment="1">
      <alignment horizontal="center" vertical="center"/>
    </xf>
    <xf numFmtId="38" fontId="2" fillId="0" borderId="13" xfId="2" applyFont="1" applyBorder="1" applyAlignment="1">
      <alignment horizontal="right" vertical="center"/>
    </xf>
    <xf numFmtId="38" fontId="2" fillId="0" borderId="13" xfId="2" applyFont="1" applyBorder="1">
      <alignment vertical="center"/>
    </xf>
    <xf numFmtId="38" fontId="2" fillId="0" borderId="0" xfId="2" applyFont="1" applyBorder="1" applyAlignment="1">
      <alignment horizontal="right" vertical="center"/>
    </xf>
    <xf numFmtId="38" fontId="2" fillId="0" borderId="0" xfId="2" applyFont="1" applyBorder="1">
      <alignment vertical="center"/>
    </xf>
    <xf numFmtId="38" fontId="3" fillId="2" borderId="4" xfId="2" applyFont="1" applyFill="1" applyBorder="1" applyAlignment="1">
      <alignment horizontal="center" vertical="center"/>
    </xf>
    <xf numFmtId="38" fontId="3" fillId="2" borderId="1" xfId="2" applyFont="1" applyFill="1" applyBorder="1" applyAlignment="1">
      <alignment horizontal="centerContinuous" vertical="center"/>
    </xf>
    <xf numFmtId="38" fontId="2" fillId="0" borderId="7" xfId="2" applyFont="1" applyBorder="1">
      <alignment vertical="center"/>
    </xf>
    <xf numFmtId="38" fontId="2" fillId="0" borderId="11" xfId="2" applyFont="1" applyBorder="1">
      <alignment vertical="center"/>
    </xf>
    <xf numFmtId="38" fontId="2" fillId="0" borderId="8" xfId="2" applyFont="1" applyBorder="1" applyAlignment="1">
      <alignment horizontal="left" vertical="center"/>
    </xf>
    <xf numFmtId="38" fontId="2" fillId="0" borderId="2" xfId="2" applyFont="1" applyBorder="1" applyAlignment="1">
      <alignment horizontal="right" vertical="center"/>
    </xf>
    <xf numFmtId="38" fontId="2" fillId="0" borderId="1" xfId="2" applyFont="1" applyBorder="1" applyAlignment="1">
      <alignment horizontal="left" vertical="center" wrapText="1"/>
    </xf>
    <xf numFmtId="38" fontId="2" fillId="2" borderId="2" xfId="2" applyFont="1" applyFill="1" applyBorder="1" applyAlignment="1">
      <alignment horizontal="right" vertical="center"/>
    </xf>
    <xf numFmtId="38" fontId="2" fillId="2" borderId="1" xfId="2" applyFont="1" applyFill="1" applyBorder="1" applyAlignment="1">
      <alignment horizontal="left" vertical="center" wrapText="1"/>
    </xf>
    <xf numFmtId="38" fontId="2" fillId="2" borderId="1" xfId="2" applyFont="1" applyFill="1" applyBorder="1" applyAlignment="1">
      <alignment horizontal="left" vertical="center"/>
    </xf>
    <xf numFmtId="0" fontId="2" fillId="0" borderId="0" xfId="0" applyFont="1" applyAlignment="1">
      <alignment horizontal="center" vertical="center"/>
    </xf>
    <xf numFmtId="0" fontId="2" fillId="2" borderId="0" xfId="0" applyFont="1" applyFill="1" applyAlignment="1">
      <alignment horizontal="right" vertical="center"/>
    </xf>
    <xf numFmtId="0" fontId="2" fillId="2" borderId="0" xfId="0" applyFont="1" applyFill="1" applyAlignment="1">
      <alignment vertical="center" wrapText="1"/>
    </xf>
    <xf numFmtId="0" fontId="2" fillId="2" borderId="20" xfId="0" applyFont="1" applyFill="1" applyBorder="1">
      <alignment vertical="center"/>
    </xf>
    <xf numFmtId="0" fontId="2" fillId="0" borderId="1" xfId="0" applyFont="1" applyBorder="1" applyAlignment="1">
      <alignment horizontal="center" vertical="center"/>
    </xf>
    <xf numFmtId="0" fontId="2" fillId="0" borderId="8" xfId="0" applyFont="1" applyBorder="1">
      <alignment vertical="center"/>
    </xf>
    <xf numFmtId="0" fontId="2" fillId="0" borderId="13" xfId="0" applyFont="1" applyBorder="1" applyAlignment="1">
      <alignment horizontal="center" vertical="center"/>
    </xf>
    <xf numFmtId="0" fontId="2" fillId="6" borderId="13" xfId="0" applyFont="1" applyFill="1" applyBorder="1" applyAlignment="1">
      <alignment horizontal="right" vertical="center"/>
    </xf>
    <xf numFmtId="0" fontId="2" fillId="6" borderId="4" xfId="0" applyFont="1" applyFill="1" applyBorder="1">
      <alignment vertical="center"/>
    </xf>
    <xf numFmtId="0" fontId="2" fillId="6" borderId="0" xfId="0" applyFont="1" applyFill="1" applyAlignment="1">
      <alignment horizontal="right" vertical="center"/>
    </xf>
    <xf numFmtId="0" fontId="2" fillId="6" borderId="20" xfId="0" applyFont="1" applyFill="1" applyBorder="1">
      <alignment vertical="center"/>
    </xf>
    <xf numFmtId="0" fontId="2" fillId="6" borderId="7" xfId="0" applyFont="1" applyFill="1" applyBorder="1" applyAlignment="1">
      <alignment horizontal="right" vertical="center"/>
    </xf>
    <xf numFmtId="0" fontId="2" fillId="6" borderId="8" xfId="0" applyFont="1" applyFill="1" applyBorder="1">
      <alignment vertical="center"/>
    </xf>
    <xf numFmtId="0" fontId="2" fillId="0" borderId="12" xfId="0" applyFont="1" applyBorder="1">
      <alignment vertical="center"/>
    </xf>
    <xf numFmtId="0" fontId="2" fillId="2" borderId="3" xfId="0" applyFont="1" applyFill="1" applyBorder="1" applyAlignment="1">
      <alignment vertical="center" wrapText="1"/>
    </xf>
    <xf numFmtId="180" fontId="2" fillId="0" borderId="1" xfId="0" applyNumberFormat="1" applyFont="1" applyBorder="1" applyAlignment="1">
      <alignment horizontal="center" vertical="center" shrinkToFit="1"/>
    </xf>
    <xf numFmtId="180" fontId="2" fillId="0" borderId="3" xfId="0" applyNumberFormat="1" applyFont="1" applyBorder="1" applyAlignment="1">
      <alignment horizontal="center" vertical="center" shrinkToFit="1"/>
    </xf>
    <xf numFmtId="0" fontId="2" fillId="2" borderId="7" xfId="0" applyFont="1" applyFill="1" applyBorder="1" applyAlignment="1">
      <alignment horizontal="right" vertical="center"/>
    </xf>
    <xf numFmtId="180" fontId="2" fillId="0" borderId="9" xfId="0" applyNumberFormat="1" applyFont="1" applyBorder="1" applyAlignment="1">
      <alignment vertical="center" shrinkToFit="1"/>
    </xf>
    <xf numFmtId="180" fontId="2" fillId="0" borderId="2" xfId="0" applyNumberFormat="1" applyFont="1" applyBorder="1" applyAlignment="1">
      <alignment vertical="center" shrinkToFit="1"/>
    </xf>
    <xf numFmtId="182" fontId="19" fillId="0" borderId="0" xfId="0" applyNumberFormat="1" applyFont="1" applyProtection="1">
      <alignment vertical="center"/>
      <protection hidden="1"/>
    </xf>
    <xf numFmtId="0" fontId="2" fillId="2" borderId="1" xfId="0" applyFont="1" applyFill="1" applyBorder="1" applyAlignment="1">
      <alignment vertical="center" wrapText="1"/>
    </xf>
    <xf numFmtId="0" fontId="4" fillId="7" borderId="1" xfId="0" applyFont="1" applyFill="1" applyBorder="1">
      <alignment vertical="center"/>
    </xf>
    <xf numFmtId="0" fontId="2" fillId="0" borderId="7" xfId="0" applyFont="1" applyBorder="1" applyAlignment="1">
      <alignment horizontal="left" vertical="center" wrapText="1"/>
    </xf>
    <xf numFmtId="0" fontId="13" fillId="0" borderId="0" xfId="0" applyFont="1" applyAlignment="1">
      <alignment vertical="center" wrapText="1"/>
    </xf>
    <xf numFmtId="49" fontId="0" fillId="8" borderId="1" xfId="0" applyNumberFormat="1" applyFill="1" applyBorder="1" applyAlignment="1" applyProtection="1">
      <alignment horizontal="left" vertical="center"/>
      <protection locked="0"/>
    </xf>
    <xf numFmtId="0" fontId="19" fillId="0" borderId="0" xfId="0" applyFont="1" applyAlignment="1" applyProtection="1">
      <alignment vertical="center" wrapText="1"/>
      <protection hidden="1"/>
    </xf>
    <xf numFmtId="0" fontId="2" fillId="0" borderId="29" xfId="0" applyFont="1" applyBorder="1" applyAlignment="1">
      <alignment vertical="center" wrapText="1"/>
    </xf>
    <xf numFmtId="177" fontId="0" fillId="2" borderId="1" xfId="0" applyNumberFormat="1" applyFill="1" applyBorder="1" applyAlignment="1">
      <alignment horizontal="left" vertical="center" wrapText="1"/>
    </xf>
    <xf numFmtId="0" fontId="0" fillId="2" borderId="1" xfId="0" applyFill="1" applyBorder="1" applyAlignment="1">
      <alignment horizontal="left" vertical="center" wrapText="1"/>
    </xf>
    <xf numFmtId="177" fontId="0" fillId="3" borderId="1" xfId="0" applyNumberFormat="1" applyFill="1" applyBorder="1" applyAlignment="1" applyProtection="1">
      <alignment horizontal="left" vertical="center" wrapText="1"/>
      <protection locked="0"/>
    </xf>
    <xf numFmtId="179" fontId="2" fillId="3" borderId="1" xfId="0" applyNumberFormat="1" applyFont="1" applyFill="1" applyBorder="1" applyAlignment="1" applyProtection="1">
      <alignment horizontal="left" vertical="center" wrapText="1"/>
      <protection locked="0"/>
    </xf>
    <xf numFmtId="49" fontId="4" fillId="3" borderId="1" xfId="0" applyNumberFormat="1" applyFont="1" applyFill="1" applyBorder="1" applyAlignment="1" applyProtection="1">
      <alignment horizontal="left" vertical="center" wrapText="1"/>
      <protection locked="0"/>
    </xf>
    <xf numFmtId="0" fontId="2" fillId="0" borderId="2" xfId="0" applyFont="1" applyBorder="1" applyAlignment="1">
      <alignment horizontal="left" vertical="center" wrapText="1"/>
    </xf>
    <xf numFmtId="0" fontId="4" fillId="2" borderId="2" xfId="0" applyFont="1" applyFill="1" applyBorder="1" applyAlignment="1">
      <alignment horizontal="left" vertical="center" wrapText="1"/>
    </xf>
    <xf numFmtId="0" fontId="4" fillId="0" borderId="2" xfId="0" applyFont="1" applyBorder="1" applyAlignment="1">
      <alignment horizontal="left" vertical="center" wrapText="1"/>
    </xf>
    <xf numFmtId="181" fontId="2" fillId="3" borderId="3" xfId="2" applyNumberFormat="1" applyFont="1" applyFill="1" applyBorder="1" applyProtection="1">
      <alignment vertical="center"/>
      <protection locked="0"/>
    </xf>
    <xf numFmtId="181" fontId="2" fillId="3" borderId="9" xfId="2" applyNumberFormat="1" applyFont="1" applyFill="1" applyBorder="1" applyProtection="1">
      <alignment vertical="center"/>
      <protection locked="0"/>
    </xf>
    <xf numFmtId="0" fontId="2" fillId="0" borderId="0" xfId="0" applyFont="1" applyAlignment="1">
      <alignment horizontal="left" vertical="center" wrapText="1"/>
    </xf>
    <xf numFmtId="0" fontId="12" fillId="0" borderId="0" xfId="3" applyAlignment="1">
      <alignment vertical="center" wrapText="1"/>
    </xf>
    <xf numFmtId="0" fontId="2" fillId="2" borderId="2"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0" fillId="0" borderId="7" xfId="0" applyBorder="1" applyAlignment="1">
      <alignment horizontal="left" vertical="center" wrapText="1"/>
    </xf>
    <xf numFmtId="38" fontId="0" fillId="0" borderId="0" xfId="0" applyNumberFormat="1">
      <alignment vertical="center"/>
    </xf>
    <xf numFmtId="0" fontId="9" fillId="0" borderId="0" xfId="0" applyFont="1" applyAlignment="1">
      <alignment vertical="center" wrapText="1"/>
    </xf>
    <xf numFmtId="0" fontId="2" fillId="8" borderId="1" xfId="0" applyFont="1" applyFill="1" applyBorder="1" applyAlignment="1" applyProtection="1">
      <alignment horizontal="left" vertical="center"/>
      <protection locked="0"/>
    </xf>
    <xf numFmtId="0" fontId="12" fillId="0" borderId="13" xfId="3" applyBorder="1" applyAlignment="1">
      <alignment vertical="center" wrapText="1"/>
    </xf>
    <xf numFmtId="0" fontId="12" fillId="0" borderId="7" xfId="3" applyBorder="1" applyAlignment="1">
      <alignment vertical="center" wrapText="1"/>
    </xf>
    <xf numFmtId="38" fontId="2" fillId="2" borderId="17" xfId="2" applyFont="1" applyFill="1" applyBorder="1" applyAlignment="1">
      <alignment horizontal="left" vertical="center" wrapText="1"/>
    </xf>
    <xf numFmtId="38" fontId="0" fillId="0" borderId="7" xfId="2" applyFont="1" applyBorder="1" applyAlignment="1">
      <alignment horizontal="left" vertical="center" wrapText="1"/>
    </xf>
    <xf numFmtId="38" fontId="2" fillId="0" borderId="7" xfId="2" applyFont="1" applyBorder="1" applyAlignment="1">
      <alignment horizontal="left" vertical="center" wrapText="1"/>
    </xf>
    <xf numFmtId="38" fontId="2" fillId="8" borderId="1" xfId="2" applyFont="1" applyFill="1" applyBorder="1" applyAlignment="1" applyProtection="1">
      <alignment horizontal="left" vertical="center"/>
      <protection locked="0"/>
    </xf>
    <xf numFmtId="38" fontId="12" fillId="0" borderId="13" xfId="2" applyFont="1" applyBorder="1" applyAlignment="1">
      <alignment vertical="center" wrapText="1"/>
    </xf>
    <xf numFmtId="38" fontId="2" fillId="0" borderId="0" xfId="2" applyFont="1" applyBorder="1" applyAlignment="1">
      <alignment horizontal="left" vertical="center" wrapText="1"/>
    </xf>
    <xf numFmtId="38" fontId="2" fillId="0" borderId="7" xfId="2" applyFont="1" applyBorder="1" applyAlignment="1">
      <alignment vertical="center" wrapText="1"/>
    </xf>
    <xf numFmtId="38" fontId="2" fillId="0" borderId="2" xfId="2" applyFont="1" applyBorder="1" applyAlignment="1">
      <alignment horizontal="left" vertical="center" wrapText="1"/>
    </xf>
    <xf numFmtId="38" fontId="2" fillId="2" borderId="2" xfId="2" applyFont="1" applyFill="1" applyBorder="1" applyAlignment="1">
      <alignment horizontal="left" vertical="center" wrapText="1"/>
    </xf>
    <xf numFmtId="0" fontId="4" fillId="0" borderId="13" xfId="0" applyFont="1" applyBorder="1" applyAlignment="1">
      <alignment horizontal="left" vertical="center" wrapText="1"/>
    </xf>
    <xf numFmtId="9" fontId="2" fillId="0" borderId="0" xfId="1" applyFont="1">
      <alignment vertical="center"/>
    </xf>
    <xf numFmtId="0" fontId="4" fillId="0" borderId="0" xfId="0" applyFont="1" applyAlignment="1">
      <alignment horizontal="left" vertical="center" wrapText="1"/>
    </xf>
    <xf numFmtId="0" fontId="2" fillId="2" borderId="6" xfId="0" applyFont="1" applyFill="1" applyBorder="1" applyAlignment="1">
      <alignment vertical="center" wrapText="1"/>
    </xf>
    <xf numFmtId="0" fontId="2" fillId="6" borderId="5" xfId="0" applyFont="1" applyFill="1" applyBorder="1" applyAlignment="1">
      <alignment vertical="center" wrapText="1"/>
    </xf>
    <xf numFmtId="0" fontId="2" fillId="6" borderId="6" xfId="0" applyFont="1" applyFill="1" applyBorder="1" applyAlignment="1">
      <alignment vertical="center" wrapText="1"/>
    </xf>
    <xf numFmtId="0" fontId="2" fillId="6" borderId="11" xfId="0" applyFont="1" applyFill="1" applyBorder="1" applyAlignment="1">
      <alignment vertical="center" wrapText="1"/>
    </xf>
    <xf numFmtId="0" fontId="3" fillId="2" borderId="2" xfId="0" applyFont="1" applyFill="1" applyBorder="1" applyAlignment="1">
      <alignment vertical="center" wrapText="1"/>
    </xf>
    <xf numFmtId="0" fontId="2" fillId="0" borderId="5" xfId="0" applyFont="1" applyBorder="1" applyAlignment="1">
      <alignment vertical="center" wrapText="1" shrinkToFit="1"/>
    </xf>
    <xf numFmtId="0" fontId="2" fillId="2" borderId="15" xfId="0" applyFont="1" applyFill="1" applyBorder="1" applyAlignment="1">
      <alignment horizontal="centerContinuous" vertical="center"/>
    </xf>
    <xf numFmtId="0" fontId="3" fillId="2" borderId="15" xfId="0" applyFont="1" applyFill="1" applyBorder="1" applyAlignment="1">
      <alignment vertical="center" wrapText="1"/>
    </xf>
    <xf numFmtId="38" fontId="2" fillId="3" borderId="15" xfId="2" applyFont="1" applyFill="1" applyBorder="1" applyProtection="1">
      <alignment vertical="center"/>
      <protection locked="0"/>
    </xf>
    <xf numFmtId="49" fontId="2" fillId="3" borderId="8" xfId="0" applyNumberFormat="1" applyFont="1" applyFill="1" applyBorder="1" applyProtection="1">
      <alignment vertical="center"/>
      <protection locked="0"/>
    </xf>
    <xf numFmtId="0" fontId="4" fillId="0" borderId="1" xfId="0" applyFont="1" applyBorder="1" applyAlignment="1">
      <alignment vertical="center" wrapText="1"/>
    </xf>
    <xf numFmtId="0" fontId="0" fillId="0" borderId="0" xfId="0" applyAlignment="1">
      <alignment vertical="center" wrapText="1"/>
    </xf>
    <xf numFmtId="0" fontId="4" fillId="0" borderId="0" xfId="0" applyFont="1" applyAlignment="1">
      <alignment vertical="center" wrapText="1"/>
    </xf>
    <xf numFmtId="0" fontId="22" fillId="0" borderId="1" xfId="0" quotePrefix="1" applyFont="1" applyBorder="1">
      <alignment vertical="center"/>
    </xf>
    <xf numFmtId="0" fontId="0" fillId="0" borderId="0" xfId="0" quotePrefix="1">
      <alignment vertical="center"/>
    </xf>
    <xf numFmtId="38" fontId="31" fillId="3" borderId="1" xfId="2" applyFont="1" applyFill="1" applyBorder="1" applyProtection="1">
      <alignment vertical="center"/>
      <protection locked="0"/>
    </xf>
    <xf numFmtId="49" fontId="0" fillId="2" borderId="1" xfId="0" applyNumberFormat="1" applyFill="1" applyBorder="1">
      <alignment vertical="center"/>
    </xf>
    <xf numFmtId="10" fontId="2" fillId="2" borderId="10" xfId="1" applyNumberFormat="1" applyFont="1" applyFill="1" applyBorder="1">
      <alignment vertical="center"/>
    </xf>
    <xf numFmtId="10" fontId="2" fillId="2" borderId="10" xfId="2" applyNumberFormat="1" applyFont="1" applyFill="1" applyBorder="1">
      <alignment vertical="center"/>
    </xf>
    <xf numFmtId="0" fontId="2" fillId="3" borderId="8" xfId="0" applyFont="1" applyFill="1" applyBorder="1" applyAlignment="1" applyProtection="1">
      <alignment horizontal="left" vertical="center"/>
      <protection locked="0"/>
    </xf>
    <xf numFmtId="0" fontId="0" fillId="8" borderId="1" xfId="0" applyFill="1" applyBorder="1" applyAlignment="1" applyProtection="1">
      <alignment horizontal="left" vertical="center"/>
      <protection locked="0"/>
    </xf>
    <xf numFmtId="0" fontId="2" fillId="0" borderId="40" xfId="0" applyFont="1" applyBorder="1" applyAlignment="1">
      <alignment horizontal="right" vertical="center"/>
    </xf>
    <xf numFmtId="0" fontId="0" fillId="5" borderId="41" xfId="0" applyFill="1" applyBorder="1" applyAlignment="1" applyProtection="1">
      <alignment horizontal="left" vertical="center" wrapText="1"/>
      <protection locked="0"/>
    </xf>
    <xf numFmtId="0" fontId="0" fillId="5" borderId="3" xfId="0" applyFill="1" applyBorder="1" applyAlignment="1" applyProtection="1">
      <alignment horizontal="left" vertical="center" wrapText="1"/>
      <protection locked="0"/>
    </xf>
    <xf numFmtId="38" fontId="2" fillId="2" borderId="42" xfId="2" applyFont="1" applyFill="1" applyBorder="1">
      <alignment vertical="center"/>
    </xf>
    <xf numFmtId="182" fontId="2" fillId="0" borderId="3" xfId="1" applyNumberFormat="1" applyFont="1" applyFill="1" applyBorder="1" applyAlignment="1">
      <alignment vertical="center"/>
    </xf>
    <xf numFmtId="0" fontId="2" fillId="0" borderId="3" xfId="0" applyFont="1" applyBorder="1" applyAlignment="1">
      <alignment horizontal="left" vertical="center" wrapText="1"/>
    </xf>
    <xf numFmtId="0" fontId="2" fillId="0" borderId="11" xfId="0" applyFont="1" applyBorder="1" applyAlignment="1">
      <alignment horizontal="left" vertical="center" wrapText="1"/>
    </xf>
    <xf numFmtId="38" fontId="2" fillId="3" borderId="1" xfId="0" applyNumberFormat="1" applyFont="1" applyFill="1" applyBorder="1" applyProtection="1">
      <alignment vertical="center"/>
      <protection locked="0"/>
    </xf>
    <xf numFmtId="10" fontId="2" fillId="3" borderId="1" xfId="1" applyNumberFormat="1" applyFont="1" applyFill="1" applyBorder="1" applyProtection="1">
      <alignment vertical="center"/>
      <protection locked="0"/>
    </xf>
    <xf numFmtId="38" fontId="0" fillId="3" borderId="1" xfId="2" applyFont="1" applyFill="1" applyBorder="1" applyAlignment="1" applyProtection="1">
      <alignment horizontal="left" vertical="center"/>
      <protection locked="0"/>
    </xf>
    <xf numFmtId="177" fontId="19" fillId="0" borderId="0" xfId="0" applyNumberFormat="1" applyFont="1" applyAlignment="1">
      <alignment horizontal="left" vertical="center"/>
    </xf>
    <xf numFmtId="182" fontId="2" fillId="0" borderId="1" xfId="1" applyNumberFormat="1" applyFont="1" applyFill="1" applyBorder="1" applyAlignment="1">
      <alignment vertical="center"/>
    </xf>
    <xf numFmtId="38" fontId="2" fillId="3" borderId="1" xfId="2" applyFont="1" applyFill="1" applyBorder="1" applyAlignment="1" applyProtection="1">
      <alignment vertical="center"/>
      <protection locked="0"/>
    </xf>
    <xf numFmtId="10" fontId="2" fillId="3" borderId="1" xfId="1" applyNumberFormat="1" applyFont="1" applyFill="1" applyBorder="1" applyAlignment="1" applyProtection="1">
      <alignment vertical="center"/>
      <protection locked="0"/>
    </xf>
    <xf numFmtId="0" fontId="0" fillId="3" borderId="1" xfId="0" applyFill="1" applyBorder="1" applyProtection="1">
      <alignment vertical="center"/>
      <protection locked="0"/>
    </xf>
    <xf numFmtId="49" fontId="0" fillId="3" borderId="1" xfId="0" applyNumberFormat="1" applyFill="1" applyBorder="1" applyProtection="1">
      <alignment vertical="center"/>
      <protection locked="0"/>
    </xf>
    <xf numFmtId="0" fontId="0" fillId="0" borderId="13" xfId="0" applyBorder="1" applyAlignment="1">
      <alignment horizontal="center" vertical="center"/>
    </xf>
    <xf numFmtId="0" fontId="28" fillId="0" borderId="39" xfId="0" applyFont="1" applyBorder="1" applyAlignment="1">
      <alignment vertical="center" wrapText="1"/>
    </xf>
    <xf numFmtId="0" fontId="28" fillId="0" borderId="0" xfId="0" applyFont="1">
      <alignment vertical="center"/>
    </xf>
    <xf numFmtId="0" fontId="28" fillId="0" borderId="13" xfId="0" applyFont="1" applyBorder="1">
      <alignment vertical="center"/>
    </xf>
    <xf numFmtId="0" fontId="28" fillId="0" borderId="3" xfId="0" applyFont="1" applyBorder="1">
      <alignment vertical="center"/>
    </xf>
    <xf numFmtId="0" fontId="4" fillId="0" borderId="9" xfId="0" applyFont="1" applyBorder="1" applyAlignment="1">
      <alignment vertical="center" wrapText="1"/>
    </xf>
    <xf numFmtId="0" fontId="4" fillId="0" borderId="2" xfId="0" applyFont="1" applyBorder="1">
      <alignment vertical="center"/>
    </xf>
    <xf numFmtId="0" fontId="4" fillId="0" borderId="3" xfId="0" applyFont="1" applyBorder="1">
      <alignment vertical="center"/>
    </xf>
    <xf numFmtId="0" fontId="13" fillId="0" borderId="0" xfId="0" applyFont="1" applyAlignment="1">
      <alignment vertical="center" wrapText="1"/>
    </xf>
    <xf numFmtId="10" fontId="10" fillId="2" borderId="4" xfId="1" applyNumberFormat="1" applyFont="1" applyFill="1" applyBorder="1" applyAlignment="1">
      <alignment horizontal="center" vertical="center"/>
    </xf>
    <xf numFmtId="10" fontId="10" fillId="2" borderId="8" xfId="1" applyNumberFormat="1" applyFont="1" applyFill="1" applyBorder="1" applyAlignment="1">
      <alignment horizontal="center" vertical="center"/>
    </xf>
    <xf numFmtId="0" fontId="10" fillId="2" borderId="9" xfId="0" applyFont="1" applyFill="1" applyBorder="1" applyAlignment="1">
      <alignment horizontal="center" vertical="center" wrapText="1" shrinkToFit="1"/>
    </xf>
    <xf numFmtId="0" fontId="10" fillId="2" borderId="3" xfId="0" applyFont="1" applyFill="1" applyBorder="1" applyAlignment="1">
      <alignment horizontal="center" vertical="center" wrapText="1" shrinkToFit="1"/>
    </xf>
    <xf numFmtId="10" fontId="10" fillId="2" borderId="15" xfId="1" applyNumberFormat="1" applyFont="1" applyFill="1" applyBorder="1" applyAlignment="1">
      <alignment horizontal="center" vertical="center"/>
    </xf>
    <xf numFmtId="10" fontId="10" fillId="2" borderId="5" xfId="1" applyNumberFormat="1" applyFont="1" applyFill="1" applyBorder="1" applyAlignment="1">
      <alignment horizontal="center" vertical="center"/>
    </xf>
    <xf numFmtId="10" fontId="10" fillId="2" borderId="12" xfId="1" applyNumberFormat="1" applyFont="1" applyFill="1" applyBorder="1" applyAlignment="1">
      <alignment horizontal="center" vertical="center"/>
    </xf>
    <xf numFmtId="10" fontId="10" fillId="2" borderId="11" xfId="1" applyNumberFormat="1" applyFont="1" applyFill="1" applyBorder="1" applyAlignment="1">
      <alignment horizontal="center" vertical="center"/>
    </xf>
    <xf numFmtId="38" fontId="13" fillId="0" borderId="0" xfId="2" applyFont="1" applyAlignment="1">
      <alignment vertical="center" wrapText="1"/>
    </xf>
    <xf numFmtId="38" fontId="10" fillId="2" borderId="4" xfId="2" applyFont="1" applyFill="1" applyBorder="1" applyAlignment="1">
      <alignment horizontal="center" vertical="center"/>
    </xf>
    <xf numFmtId="38" fontId="10" fillId="2" borderId="8" xfId="2" applyFont="1" applyFill="1" applyBorder="1" applyAlignment="1">
      <alignment horizontal="center" vertical="center"/>
    </xf>
  </cellXfs>
  <cellStyles count="4">
    <cellStyle name="パーセント" xfId="1" builtinId="5"/>
    <cellStyle name="ハイパーリンク" xfId="3" builtinId="8"/>
    <cellStyle name="桁区切り" xfId="2" builtinId="6"/>
    <cellStyle name="標準" xfId="0" builtinId="0"/>
  </cellStyles>
  <dxfs count="95">
    <dxf>
      <font>
        <color theme="2"/>
      </font>
    </dxf>
    <dxf>
      <font>
        <color theme="2"/>
      </font>
    </dxf>
    <dxf>
      <font>
        <color theme="2"/>
      </font>
    </dxf>
    <dxf>
      <font>
        <color theme="2"/>
      </font>
    </dxf>
    <dxf>
      <font>
        <color theme="2"/>
      </font>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rgb="FFFF0000"/>
        </patternFill>
      </fill>
    </dxf>
    <dxf>
      <fill>
        <patternFill>
          <bgColor theme="7" tint="0.7999816888943144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ont>
        <strike val="0"/>
        <color auto="1"/>
      </font>
      <fill>
        <patternFill patternType="solid">
          <bgColor rgb="FFFFFF00"/>
        </patternFill>
      </fill>
    </dxf>
    <dxf>
      <font>
        <color auto="1"/>
      </font>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EAEAEA"/>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7</xdr:col>
      <xdr:colOff>455531</xdr:colOff>
      <xdr:row>14</xdr:row>
      <xdr:rowOff>177079</xdr:rowOff>
    </xdr:from>
    <xdr:to>
      <xdr:col>11</xdr:col>
      <xdr:colOff>58573</xdr:colOff>
      <xdr:row>14</xdr:row>
      <xdr:rowOff>177079</xdr:rowOff>
    </xdr:to>
    <xdr:cxnSp macro="">
      <xdr:nvCxnSpPr>
        <xdr:cNvPr id="27" name="直線コネクタ 26">
          <a:extLst>
            <a:ext uri="{FF2B5EF4-FFF2-40B4-BE49-F238E27FC236}">
              <a16:creationId xmlns:a16="http://schemas.microsoft.com/office/drawing/2014/main" id="{D074E556-E092-42DE-97C5-444271FC8671}"/>
            </a:ext>
          </a:extLst>
        </xdr:cNvPr>
        <xdr:cNvCxnSpPr/>
      </xdr:nvCxnSpPr>
      <xdr:spPr>
        <a:xfrm>
          <a:off x="3465431" y="3377479"/>
          <a:ext cx="2346242" cy="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199763</xdr:colOff>
      <xdr:row>9</xdr:row>
      <xdr:rowOff>55693</xdr:rowOff>
    </xdr:from>
    <xdr:to>
      <xdr:col>14</xdr:col>
      <xdr:colOff>526677</xdr:colOff>
      <xdr:row>20</xdr:row>
      <xdr:rowOff>47999</xdr:rowOff>
    </xdr:to>
    <xdr:grpSp>
      <xdr:nvGrpSpPr>
        <xdr:cNvPr id="32" name="グループ化 31">
          <a:extLst>
            <a:ext uri="{FF2B5EF4-FFF2-40B4-BE49-F238E27FC236}">
              <a16:creationId xmlns:a16="http://schemas.microsoft.com/office/drawing/2014/main" id="{F2284D45-DCBF-38CE-E200-E6A38CEDBDBB}"/>
            </a:ext>
          </a:extLst>
        </xdr:cNvPr>
        <xdr:cNvGrpSpPr/>
      </xdr:nvGrpSpPr>
      <xdr:grpSpPr>
        <a:xfrm>
          <a:off x="434713" y="1992443"/>
          <a:ext cx="7889764" cy="2506906"/>
          <a:chOff x="635112" y="2442546"/>
          <a:chExt cx="7858565" cy="2456539"/>
        </a:xfrm>
      </xdr:grpSpPr>
      <xdr:sp macro="" textlink="">
        <xdr:nvSpPr>
          <xdr:cNvPr id="2" name="フローチャート: 処理 1">
            <a:extLst>
              <a:ext uri="{FF2B5EF4-FFF2-40B4-BE49-F238E27FC236}">
                <a16:creationId xmlns:a16="http://schemas.microsoft.com/office/drawing/2014/main" id="{B455E284-A708-4E22-A8E5-C6F428762223}"/>
              </a:ext>
            </a:extLst>
          </xdr:cNvPr>
          <xdr:cNvSpPr/>
        </xdr:nvSpPr>
        <xdr:spPr>
          <a:xfrm>
            <a:off x="635112" y="2442546"/>
            <a:ext cx="7858565" cy="2456539"/>
          </a:xfrm>
          <a:prstGeom prst="flowChartProcess">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A51BF35C-B96A-4C46-9907-8A46DE390E4C}"/>
              </a:ext>
            </a:extLst>
          </xdr:cNvPr>
          <xdr:cNvSpPr>
            <a:spLocks/>
          </xdr:cNvSpPr>
        </xdr:nvSpPr>
        <xdr:spPr>
          <a:xfrm>
            <a:off x="1050004" y="2646776"/>
            <a:ext cx="2325232" cy="540589"/>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400" b="1">
                <a:solidFill>
                  <a:sysClr val="windowText" lastClr="000000"/>
                </a:solidFill>
                <a:latin typeface="+mn-ea"/>
                <a:ea typeface="+mn-ea"/>
              </a:rPr>
              <a:t>拠点（都道府県）毎の</a:t>
            </a:r>
            <a:endParaRPr kumimoji="1" lang="en-US" altLang="ja-JP" sz="1400" b="1">
              <a:solidFill>
                <a:sysClr val="windowText" lastClr="000000"/>
              </a:solidFill>
              <a:latin typeface="+mn-ea"/>
              <a:ea typeface="+mn-ea"/>
            </a:endParaRPr>
          </a:p>
          <a:p>
            <a:pPr algn="ctr"/>
            <a:r>
              <a:rPr kumimoji="1" lang="ja-JP" altLang="en-US" sz="1400" b="1">
                <a:solidFill>
                  <a:sysClr val="windowText" lastClr="000000"/>
                </a:solidFill>
                <a:latin typeface="+mn-ea"/>
                <a:ea typeface="+mn-ea"/>
              </a:rPr>
              <a:t>給与支給総額</a:t>
            </a:r>
            <a:endParaRPr kumimoji="1" lang="en-US" altLang="ja-JP" sz="1400" b="1">
              <a:solidFill>
                <a:sysClr val="windowText" lastClr="000000"/>
              </a:solidFill>
              <a:latin typeface="+mn-ea"/>
              <a:ea typeface="+mn-ea"/>
            </a:endParaRPr>
          </a:p>
        </xdr:txBody>
      </xdr:sp>
      <xdr:sp macro="" textlink="">
        <xdr:nvSpPr>
          <xdr:cNvPr id="12" name="正方形/長方形 11">
            <a:extLst>
              <a:ext uri="{FF2B5EF4-FFF2-40B4-BE49-F238E27FC236}">
                <a16:creationId xmlns:a16="http://schemas.microsoft.com/office/drawing/2014/main" id="{C99BB6DB-B310-46D0-975A-4838E9168C73}"/>
              </a:ext>
            </a:extLst>
          </xdr:cNvPr>
          <xdr:cNvSpPr/>
        </xdr:nvSpPr>
        <xdr:spPr>
          <a:xfrm>
            <a:off x="1544215" y="3706421"/>
            <a:ext cx="1471006" cy="302381"/>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36000" tIns="36000" rIns="36000" bIns="36000" rtlCol="0" anchor="ctr"/>
          <a:lstStyle/>
          <a:p>
            <a:pPr algn="ctr"/>
            <a:r>
              <a:rPr kumimoji="1" lang="ja-JP" altLang="en-US" sz="1400" b="0">
                <a:solidFill>
                  <a:sysClr val="windowText" lastClr="000000"/>
                </a:solidFill>
                <a:latin typeface="+mn-ea"/>
                <a:ea typeface="+mn-ea"/>
              </a:rPr>
              <a:t>把握できる</a:t>
            </a:r>
            <a:endParaRPr kumimoji="1" lang="en-US" altLang="ja-JP" sz="1400" b="0">
              <a:solidFill>
                <a:sysClr val="windowText" lastClr="000000"/>
              </a:solidFill>
              <a:latin typeface="+mn-ea"/>
              <a:ea typeface="+mn-ea"/>
            </a:endParaRPr>
          </a:p>
        </xdr:txBody>
      </xdr:sp>
      <xdr:sp macro="" textlink="">
        <xdr:nvSpPr>
          <xdr:cNvPr id="13" name="正方形/長方形 12">
            <a:extLst>
              <a:ext uri="{FF2B5EF4-FFF2-40B4-BE49-F238E27FC236}">
                <a16:creationId xmlns:a16="http://schemas.microsoft.com/office/drawing/2014/main" id="{EEE54137-C099-4ABE-A926-9D97CE16AEA4}"/>
              </a:ext>
            </a:extLst>
          </xdr:cNvPr>
          <xdr:cNvSpPr/>
        </xdr:nvSpPr>
        <xdr:spPr>
          <a:xfrm>
            <a:off x="1543090" y="4234086"/>
            <a:ext cx="1471933" cy="318453"/>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36000" tIns="36000" rIns="36000" bIns="36000" rtlCol="0" anchor="ctr"/>
          <a:lstStyle/>
          <a:p>
            <a:pPr algn="ctr"/>
            <a:r>
              <a:rPr kumimoji="1" lang="ja-JP" altLang="en-US" sz="1400" b="0">
                <a:solidFill>
                  <a:sysClr val="windowText" lastClr="000000"/>
                </a:solidFill>
                <a:latin typeface="+mn-ea"/>
                <a:ea typeface="+mn-ea"/>
              </a:rPr>
              <a:t>把握できない</a:t>
            </a:r>
            <a:endParaRPr kumimoji="1" lang="en-US" altLang="ja-JP" sz="1400" b="0">
              <a:solidFill>
                <a:sysClr val="windowText" lastClr="000000"/>
              </a:solidFill>
              <a:latin typeface="+mn-ea"/>
              <a:ea typeface="+mn-ea"/>
            </a:endParaRPr>
          </a:p>
        </xdr:txBody>
      </xdr:sp>
      <xdr:sp macro="" textlink="">
        <xdr:nvSpPr>
          <xdr:cNvPr id="19" name="四角形: 角を丸くする 18">
            <a:extLst>
              <a:ext uri="{FF2B5EF4-FFF2-40B4-BE49-F238E27FC236}">
                <a16:creationId xmlns:a16="http://schemas.microsoft.com/office/drawing/2014/main" id="{23C019B1-8971-4FF8-B5CB-B10447C93B5D}"/>
              </a:ext>
            </a:extLst>
          </xdr:cNvPr>
          <xdr:cNvSpPr/>
        </xdr:nvSpPr>
        <xdr:spPr>
          <a:xfrm>
            <a:off x="3651413" y="3673992"/>
            <a:ext cx="4476219" cy="373589"/>
          </a:xfrm>
          <a:prstGeom prst="roundRect">
            <a:avLst/>
          </a:prstGeom>
          <a:solidFill>
            <a:schemeClr val="accent1">
              <a:lumMod val="60000"/>
              <a:lumOff val="40000"/>
            </a:schemeClr>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1. A002_</a:t>
            </a:r>
            <a:r>
              <a:rPr kumimoji="1" lang="ja-JP" altLang="en-US" sz="1200" b="0">
                <a:solidFill>
                  <a:sysClr val="windowText" lastClr="000000"/>
                </a:solidFill>
                <a:latin typeface="+mn-ea"/>
                <a:ea typeface="+mn-ea"/>
              </a:rPr>
              <a:t>成長投資計画書別紙</a:t>
            </a:r>
            <a:endParaRPr kumimoji="1" lang="en-US" altLang="ja-JP" sz="1200" b="0">
              <a:solidFill>
                <a:sysClr val="windowText" lastClr="000000"/>
              </a:solidFill>
              <a:latin typeface="+mn-ea"/>
              <a:ea typeface="+mn-ea"/>
            </a:endParaRPr>
          </a:p>
        </xdr:txBody>
      </xdr:sp>
      <xdr:sp macro="" textlink="">
        <xdr:nvSpPr>
          <xdr:cNvPr id="20" name="四角形: 角を丸くする 19">
            <a:extLst>
              <a:ext uri="{FF2B5EF4-FFF2-40B4-BE49-F238E27FC236}">
                <a16:creationId xmlns:a16="http://schemas.microsoft.com/office/drawing/2014/main" id="{624C1CD5-9735-43A5-B444-9FF21AF0B423}"/>
              </a:ext>
            </a:extLst>
          </xdr:cNvPr>
          <xdr:cNvSpPr/>
        </xdr:nvSpPr>
        <xdr:spPr>
          <a:xfrm>
            <a:off x="3641265" y="4204090"/>
            <a:ext cx="4481150" cy="384795"/>
          </a:xfrm>
          <a:prstGeom prst="roundRect">
            <a:avLst/>
          </a:prstGeom>
          <a:solidFill>
            <a:schemeClr val="accent1">
              <a:lumMod val="60000"/>
              <a:lumOff val="40000"/>
            </a:schemeClr>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2. A002_</a:t>
            </a:r>
            <a:r>
              <a:rPr kumimoji="1" lang="ja-JP" altLang="en-US" sz="1200" b="0">
                <a:solidFill>
                  <a:sysClr val="windowText" lastClr="000000"/>
                </a:solidFill>
                <a:latin typeface="+mn-ea"/>
                <a:ea typeface="+mn-ea"/>
              </a:rPr>
              <a:t>成長投資計画書別紙</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拠点別情報なし</a:t>
            </a:r>
          </a:p>
        </xdr:txBody>
      </xdr:sp>
      <xdr:cxnSp macro="">
        <xdr:nvCxnSpPr>
          <xdr:cNvPr id="24" name="直線コネクタ 23">
            <a:extLst>
              <a:ext uri="{FF2B5EF4-FFF2-40B4-BE49-F238E27FC236}">
                <a16:creationId xmlns:a16="http://schemas.microsoft.com/office/drawing/2014/main" id="{5FD538E6-5DC4-41A8-99A6-FA7B7F5EEAF9}"/>
              </a:ext>
            </a:extLst>
          </xdr:cNvPr>
          <xdr:cNvCxnSpPr>
            <a:cxnSpLocks/>
            <a:stCxn id="12" idx="3"/>
            <a:endCxn id="19" idx="1"/>
          </xdr:cNvCxnSpPr>
        </xdr:nvCxnSpPr>
        <xdr:spPr>
          <a:xfrm>
            <a:off x="3015023" y="3860788"/>
            <a:ext cx="636390" cy="0"/>
          </a:xfrm>
          <a:prstGeom prst="line">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BE808FB1-CE36-4CE0-AADC-6EBE1E95ADC8}"/>
              </a:ext>
            </a:extLst>
          </xdr:cNvPr>
          <xdr:cNvCxnSpPr>
            <a:cxnSpLocks/>
            <a:stCxn id="13" idx="3"/>
            <a:endCxn id="20" idx="1"/>
          </xdr:cNvCxnSpPr>
        </xdr:nvCxnSpPr>
        <xdr:spPr>
          <a:xfrm>
            <a:off x="3015023" y="4398915"/>
            <a:ext cx="626243" cy="0"/>
          </a:xfrm>
          <a:prstGeom prst="line">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9" name="正方形/長方形 28">
            <a:extLst>
              <a:ext uri="{FF2B5EF4-FFF2-40B4-BE49-F238E27FC236}">
                <a16:creationId xmlns:a16="http://schemas.microsoft.com/office/drawing/2014/main" id="{F26D4D86-FE95-4F21-A5D0-7B799E0E569E}"/>
              </a:ext>
            </a:extLst>
          </xdr:cNvPr>
          <xdr:cNvSpPr/>
        </xdr:nvSpPr>
        <xdr:spPr>
          <a:xfrm>
            <a:off x="3698698" y="2646776"/>
            <a:ext cx="4483812" cy="554773"/>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400" b="1">
                <a:solidFill>
                  <a:sysClr val="windowText" lastClr="000000"/>
                </a:solidFill>
                <a:latin typeface="+mn-ea"/>
                <a:ea typeface="+mn-ea"/>
              </a:rPr>
              <a:t>タイプ</a:t>
            </a:r>
            <a:endParaRPr kumimoji="1" lang="en-US" altLang="ja-JP" sz="1400" b="1">
              <a:solidFill>
                <a:sysClr val="windowText" lastClr="000000"/>
              </a:solidFill>
              <a:latin typeface="+mn-ea"/>
              <a:ea typeface="+mn-ea"/>
            </a:endParaRPr>
          </a:p>
        </xdr:txBody>
      </xdr:sp>
      <xdr:cxnSp macro="">
        <xdr:nvCxnSpPr>
          <xdr:cNvPr id="36" name="直線コネクタ 35">
            <a:extLst>
              <a:ext uri="{FF2B5EF4-FFF2-40B4-BE49-F238E27FC236}">
                <a16:creationId xmlns:a16="http://schemas.microsoft.com/office/drawing/2014/main" id="{BAC716DA-9E2D-9A11-38F2-0D7F29576B4A}"/>
              </a:ext>
            </a:extLst>
          </xdr:cNvPr>
          <xdr:cNvCxnSpPr/>
        </xdr:nvCxnSpPr>
        <xdr:spPr>
          <a:xfrm>
            <a:off x="1091654" y="3220223"/>
            <a:ext cx="2410647" cy="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a:extLst>
              <a:ext uri="{FF2B5EF4-FFF2-40B4-BE49-F238E27FC236}">
                <a16:creationId xmlns:a16="http://schemas.microsoft.com/office/drawing/2014/main" id="{360BB536-F5B7-A63B-9AE0-86E25DA99AFD}"/>
              </a:ext>
            </a:extLst>
          </xdr:cNvPr>
          <xdr:cNvCxnSpPr/>
        </xdr:nvCxnSpPr>
        <xdr:spPr>
          <a:xfrm flipV="1">
            <a:off x="3815873" y="3220223"/>
            <a:ext cx="4353256" cy="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11</xdr:col>
      <xdr:colOff>425824</xdr:colOff>
      <xdr:row>5</xdr:row>
      <xdr:rowOff>104403</xdr:rowOff>
    </xdr:from>
    <xdr:to>
      <xdr:col>17</xdr:col>
      <xdr:colOff>343512</xdr:colOff>
      <xdr:row>10</xdr:row>
      <xdr:rowOff>116942</xdr:rowOff>
    </xdr:to>
    <xdr:sp macro="" textlink="">
      <xdr:nvSpPr>
        <xdr:cNvPr id="30" name="吹き出し: 角を丸めた四角形 29">
          <a:extLst>
            <a:ext uri="{FF2B5EF4-FFF2-40B4-BE49-F238E27FC236}">
              <a16:creationId xmlns:a16="http://schemas.microsoft.com/office/drawing/2014/main" id="{F03ED301-D062-4649-9E49-2446DA8A1488}"/>
            </a:ext>
          </a:extLst>
        </xdr:cNvPr>
        <xdr:cNvSpPr/>
      </xdr:nvSpPr>
      <xdr:spPr>
        <a:xfrm>
          <a:off x="6178924" y="1123578"/>
          <a:ext cx="4032488" cy="1155539"/>
        </a:xfrm>
        <a:prstGeom prst="wedgeRoundRectCallout">
          <a:avLst>
            <a:gd name="adj1" fmla="val -51268"/>
            <a:gd name="adj2" fmla="val 6383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「給与支給総額を拠点ごとに把握できない場合」とは、財務・収支管理が事業部単位になっており、拠点ごとに切り分けられていない、あるいは拠点横断でクライアントベースになっている場合等を想定。</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276973</xdr:colOff>
      <xdr:row>3</xdr:row>
      <xdr:rowOff>0</xdr:rowOff>
    </xdr:from>
    <xdr:to>
      <xdr:col>2</xdr:col>
      <xdr:colOff>1646292</xdr:colOff>
      <xdr:row>4</xdr:row>
      <xdr:rowOff>11119</xdr:rowOff>
    </xdr:to>
    <xdr:grpSp>
      <xdr:nvGrpSpPr>
        <xdr:cNvPr id="2" name="グループ化 1">
          <a:extLst>
            <a:ext uri="{FF2B5EF4-FFF2-40B4-BE49-F238E27FC236}">
              <a16:creationId xmlns:a16="http://schemas.microsoft.com/office/drawing/2014/main" id="{094FF8F0-AF75-4CB3-BF47-BD1145110A77}"/>
            </a:ext>
          </a:extLst>
        </xdr:cNvPr>
        <xdr:cNvGrpSpPr/>
      </xdr:nvGrpSpPr>
      <xdr:grpSpPr>
        <a:xfrm>
          <a:off x="505573" y="571500"/>
          <a:ext cx="2493269" cy="214319"/>
          <a:chOff x="10186146" y="579822"/>
          <a:chExt cx="2606822" cy="216000"/>
        </a:xfrm>
      </xdr:grpSpPr>
      <xdr:sp macro="" textlink="">
        <xdr:nvSpPr>
          <xdr:cNvPr id="3" name="テキスト ボックス 2">
            <a:extLst>
              <a:ext uri="{FF2B5EF4-FFF2-40B4-BE49-F238E27FC236}">
                <a16:creationId xmlns:a16="http://schemas.microsoft.com/office/drawing/2014/main" id="{BE68B82E-1D08-A541-2A7C-4B3E4A7A69C7}"/>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23A83FC-A43E-D001-34F6-4144059ABF6C}"/>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4</xdr:col>
      <xdr:colOff>5233147</xdr:colOff>
      <xdr:row>0</xdr:row>
      <xdr:rowOff>0</xdr:rowOff>
    </xdr:from>
    <xdr:to>
      <xdr:col>5</xdr:col>
      <xdr:colOff>5647</xdr:colOff>
      <xdr:row>2</xdr:row>
      <xdr:rowOff>151853</xdr:rowOff>
    </xdr:to>
    <xdr:sp macro="" textlink="">
      <xdr:nvSpPr>
        <xdr:cNvPr id="5" name="正方形/長方形 4">
          <a:extLst>
            <a:ext uri="{FF2B5EF4-FFF2-40B4-BE49-F238E27FC236}">
              <a16:creationId xmlns:a16="http://schemas.microsoft.com/office/drawing/2014/main" id="{EC9E4604-0EA8-4496-867C-25E9C3269182}"/>
            </a:ext>
          </a:extLst>
        </xdr:cNvPr>
        <xdr:cNvSpPr/>
      </xdr:nvSpPr>
      <xdr:spPr>
        <a:xfrm flipH="1">
          <a:off x="13326222" y="0"/>
          <a:ext cx="1436825" cy="428078"/>
        </a:xfrm>
        <a:prstGeom prst="rect">
          <a:avLst/>
        </a:prstGeom>
        <a:solidFill>
          <a:srgbClr val="002060"/>
        </a:solidFill>
        <a:ln w="9525" cap="rnd"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0" rIns="72000" bIns="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defTabSz="742950"/>
          <a:r>
            <a:rPr kumimoji="1" lang="en-US" altLang="ja-JP" sz="1800">
              <a:solidFill>
                <a:schemeClr val="bg1"/>
              </a:solidFill>
              <a:latin typeface="Meiryo UI" panose="020B0604030504040204" pitchFamily="50" charset="-128"/>
              <a:ea typeface="Meiryo UI" panose="020B0604030504040204" pitchFamily="50" charset="-128"/>
            </a:rPr>
            <a:t>3</a:t>
          </a:r>
          <a:r>
            <a:rPr kumimoji="1" lang="ja-JP" altLang="en-US" sz="1800">
              <a:solidFill>
                <a:schemeClr val="bg1"/>
              </a:solidFill>
              <a:latin typeface="Meiryo UI" panose="020B0604030504040204" pitchFamily="50" charset="-128"/>
              <a:ea typeface="Meiryo UI" panose="020B0604030504040204" pitchFamily="50" charset="-128"/>
            </a:rPr>
            <a:t>次公募用</a:t>
          </a:r>
          <a:endParaRPr kumimoji="1" lang="en-US" altLang="ja-JP" sz="18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0</xdr:colOff>
      <xdr:row>0</xdr:row>
      <xdr:rowOff>134471</xdr:rowOff>
    </xdr:from>
    <xdr:to>
      <xdr:col>4</xdr:col>
      <xdr:colOff>3594529</xdr:colOff>
      <xdr:row>2</xdr:row>
      <xdr:rowOff>286324</xdr:rowOff>
    </xdr:to>
    <xdr:sp macro="" textlink="">
      <xdr:nvSpPr>
        <xdr:cNvPr id="6" name="テキスト ボックス 5">
          <a:extLst>
            <a:ext uri="{FF2B5EF4-FFF2-40B4-BE49-F238E27FC236}">
              <a16:creationId xmlns:a16="http://schemas.microsoft.com/office/drawing/2014/main" id="{AEC30B20-BF61-4721-99EB-9A9D9A07267C}"/>
            </a:ext>
          </a:extLst>
        </xdr:cNvPr>
        <xdr:cNvSpPr txBox="1"/>
      </xdr:nvSpPr>
      <xdr:spPr>
        <a:xfrm>
          <a:off x="3771900" y="134471"/>
          <a:ext cx="7915704" cy="428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要件を満たしていない項目が残存する場合、以下黒枠内にワーニングメッセージが表示されます。</a:t>
          </a:r>
          <a:endParaRPr kumimoji="1" lang="en-US" altLang="ja-JP" sz="1100" b="1">
            <a:solidFill>
              <a:schemeClr val="accent1"/>
            </a:solidFill>
          </a:endParaRPr>
        </a:p>
        <a:p>
          <a:pPr algn="l"/>
          <a:r>
            <a:rPr kumimoji="1" lang="en-US" altLang="ja-JP" sz="1100" b="1">
              <a:solidFill>
                <a:schemeClr val="accent1"/>
              </a:solidFill>
            </a:rPr>
            <a:t>※</a:t>
          </a:r>
          <a:r>
            <a:rPr kumimoji="1" lang="ja-JP" altLang="en-US" sz="1100" b="1">
              <a:solidFill>
                <a:schemeClr val="accent1"/>
              </a:solidFill>
            </a:rPr>
            <a:t>②補助事業情報シートにも同様の欄があります。共にワーニングメッセージが表示されていないことを確認してください。</a:t>
          </a:r>
          <a:endParaRPr kumimoji="1" lang="en-US" altLang="ja-JP" sz="1100" b="1">
            <a:solidFill>
              <a:schemeClr val="accent1"/>
            </a:solidFill>
          </a:endParaRPr>
        </a:p>
      </xdr:txBody>
    </xdr:sp>
    <xdr:clientData/>
  </xdr:twoCellAnchor>
  <xdr:twoCellAnchor>
    <xdr:from>
      <xdr:col>4</xdr:col>
      <xdr:colOff>2532238</xdr:colOff>
      <xdr:row>4</xdr:row>
      <xdr:rowOff>78441</xdr:rowOff>
    </xdr:from>
    <xdr:to>
      <xdr:col>4</xdr:col>
      <xdr:colOff>6591685</xdr:colOff>
      <xdr:row>4</xdr:row>
      <xdr:rowOff>507234</xdr:rowOff>
    </xdr:to>
    <xdr:grpSp>
      <xdr:nvGrpSpPr>
        <xdr:cNvPr id="7" name="グループ化 6">
          <a:extLst>
            <a:ext uri="{FF2B5EF4-FFF2-40B4-BE49-F238E27FC236}">
              <a16:creationId xmlns:a16="http://schemas.microsoft.com/office/drawing/2014/main" id="{0EF3B417-09B4-4FD9-8D8A-5A8989D43F34}"/>
            </a:ext>
          </a:extLst>
        </xdr:cNvPr>
        <xdr:cNvGrpSpPr/>
      </xdr:nvGrpSpPr>
      <xdr:grpSpPr>
        <a:xfrm>
          <a:off x="10628488" y="853141"/>
          <a:ext cx="4059447" cy="428793"/>
          <a:chOff x="9429751" y="685800"/>
          <a:chExt cx="4032000" cy="432000"/>
        </a:xfrm>
      </xdr:grpSpPr>
      <xdr:sp macro="" textlink="">
        <xdr:nvSpPr>
          <xdr:cNvPr id="8" name="テキスト ボックス 7">
            <a:extLst>
              <a:ext uri="{FF2B5EF4-FFF2-40B4-BE49-F238E27FC236}">
                <a16:creationId xmlns:a16="http://schemas.microsoft.com/office/drawing/2014/main" id="{54814A1D-7A48-8336-718C-F04D101008AD}"/>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9" name="テキスト ボックス 8">
            <a:extLst>
              <a:ext uri="{FF2B5EF4-FFF2-40B4-BE49-F238E27FC236}">
                <a16:creationId xmlns:a16="http://schemas.microsoft.com/office/drawing/2014/main" id="{2DAA50C0-A0F5-EC16-0EDA-6A1D9ED0318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0" name="テキスト ボックス 9">
            <a:extLst>
              <a:ext uri="{FF2B5EF4-FFF2-40B4-BE49-F238E27FC236}">
                <a16:creationId xmlns:a16="http://schemas.microsoft.com/office/drawing/2014/main" id="{1AFC0E79-60EF-CD86-BABF-33EC0362296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1" name="正方形/長方形 10">
            <a:extLst>
              <a:ext uri="{FF2B5EF4-FFF2-40B4-BE49-F238E27FC236}">
                <a16:creationId xmlns:a16="http://schemas.microsoft.com/office/drawing/2014/main" id="{AA396578-8E95-B964-57EE-9C034F4825BA}"/>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DF668512-24B0-5CED-F226-161FB9CAF315}"/>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4</xdr:col>
      <xdr:colOff>2439147</xdr:colOff>
      <xdr:row>0</xdr:row>
      <xdr:rowOff>152400</xdr:rowOff>
    </xdr:from>
    <xdr:to>
      <xdr:col>4</xdr:col>
      <xdr:colOff>5315972</xdr:colOff>
      <xdr:row>3</xdr:row>
      <xdr:rowOff>117252</xdr:rowOff>
    </xdr:to>
    <xdr:sp macro="" textlink="">
      <xdr:nvSpPr>
        <xdr:cNvPr id="13" name="吹き出し: 角を丸めた四角形 12">
          <a:extLst>
            <a:ext uri="{FF2B5EF4-FFF2-40B4-BE49-F238E27FC236}">
              <a16:creationId xmlns:a16="http://schemas.microsoft.com/office/drawing/2014/main" id="{5EDFBCF9-01F6-4A4D-875E-04120871814E}"/>
            </a:ext>
          </a:extLst>
        </xdr:cNvPr>
        <xdr:cNvSpPr/>
      </xdr:nvSpPr>
      <xdr:spPr>
        <a:xfrm>
          <a:off x="10529794" y="152400"/>
          <a:ext cx="2876825" cy="536352"/>
        </a:xfrm>
        <a:prstGeom prst="wedgeRoundRectCallout">
          <a:avLst>
            <a:gd name="adj1" fmla="val -55390"/>
            <a:gd name="adj2" fmla="val 4844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入力内容が要件を満たすとワーニングメッセージが消えます。</a:t>
          </a:r>
          <a:endParaRPr kumimoji="1" lang="en-US" altLang="ja-JP" sz="1200">
            <a:solidFill>
              <a:sysClr val="windowText" lastClr="000000"/>
            </a:solidFill>
            <a:latin typeface="+mn-ea"/>
            <a:ea typeface="+mn-ea"/>
          </a:endParaRPr>
        </a:p>
      </xdr:txBody>
    </xdr:sp>
    <xdr:clientData/>
  </xdr:twoCellAnchor>
  <xdr:twoCellAnchor>
    <xdr:from>
      <xdr:col>4</xdr:col>
      <xdr:colOff>3033987</xdr:colOff>
      <xdr:row>5</xdr:row>
      <xdr:rowOff>228600</xdr:rowOff>
    </xdr:from>
    <xdr:to>
      <xdr:col>7</xdr:col>
      <xdr:colOff>150783</xdr:colOff>
      <xdr:row>9</xdr:row>
      <xdr:rowOff>11177</xdr:rowOff>
    </xdr:to>
    <xdr:sp macro="" textlink="">
      <xdr:nvSpPr>
        <xdr:cNvPr id="14" name="吹き出し: 角を丸めた四角形 13">
          <a:extLst>
            <a:ext uri="{FF2B5EF4-FFF2-40B4-BE49-F238E27FC236}">
              <a16:creationId xmlns:a16="http://schemas.microsoft.com/office/drawing/2014/main" id="{5D44F3DF-4430-4F03-B242-4FE050CA23D6}"/>
            </a:ext>
          </a:extLst>
        </xdr:cNvPr>
        <xdr:cNvSpPr/>
      </xdr:nvSpPr>
      <xdr:spPr>
        <a:xfrm>
          <a:off x="11124634" y="1595718"/>
          <a:ext cx="5095384" cy="1474665"/>
        </a:xfrm>
        <a:prstGeom prst="wedgeRoundRectCallout">
          <a:avLst>
            <a:gd name="adj1" fmla="val -62019"/>
            <a:gd name="adj2" fmla="val 11981"/>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次公募・</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次公募で採択されている場合、該当を選択し、</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次公募・</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次公募における業種を選択してください。</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入力に応じて以下の該当項目が　　　　　　から</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に変更されます。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72</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131</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xdr:txBody>
    </xdr:sp>
    <xdr:clientData/>
  </xdr:twoCellAnchor>
  <xdr:twoCellAnchor>
    <xdr:from>
      <xdr:col>4</xdr:col>
      <xdr:colOff>5392502</xdr:colOff>
      <xdr:row>7</xdr:row>
      <xdr:rowOff>114063</xdr:rowOff>
    </xdr:from>
    <xdr:to>
      <xdr:col>4</xdr:col>
      <xdr:colOff>6119978</xdr:colOff>
      <xdr:row>7</xdr:row>
      <xdr:rowOff>419650</xdr:rowOff>
    </xdr:to>
    <xdr:sp macro="" textlink="">
      <xdr:nvSpPr>
        <xdr:cNvPr id="15" name="テキスト ボックス 14">
          <a:extLst>
            <a:ext uri="{FF2B5EF4-FFF2-40B4-BE49-F238E27FC236}">
              <a16:creationId xmlns:a16="http://schemas.microsoft.com/office/drawing/2014/main" id="{15F7D433-E466-4291-A7CB-1CCF5C0E2B2C}"/>
            </a:ext>
          </a:extLst>
        </xdr:cNvPr>
        <xdr:cNvSpPr txBox="1"/>
      </xdr:nvSpPr>
      <xdr:spPr>
        <a:xfrm>
          <a:off x="13483149" y="2164739"/>
          <a:ext cx="727476" cy="305587"/>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clientData/>
  </xdr:twoCellAnchor>
  <xdr:twoCellAnchor>
    <xdr:from>
      <xdr:col>4</xdr:col>
      <xdr:colOff>6554586</xdr:colOff>
      <xdr:row>7</xdr:row>
      <xdr:rowOff>104217</xdr:rowOff>
    </xdr:from>
    <xdr:to>
      <xdr:col>6</xdr:col>
      <xdr:colOff>333506</xdr:colOff>
      <xdr:row>7</xdr:row>
      <xdr:rowOff>417620</xdr:rowOff>
    </xdr:to>
    <xdr:sp macro="" textlink="">
      <xdr:nvSpPr>
        <xdr:cNvPr id="16" name="テキスト ボックス 15">
          <a:extLst>
            <a:ext uri="{FF2B5EF4-FFF2-40B4-BE49-F238E27FC236}">
              <a16:creationId xmlns:a16="http://schemas.microsoft.com/office/drawing/2014/main" id="{E94A6191-750A-4CBE-993E-2BD1E9012916}"/>
            </a:ext>
          </a:extLst>
        </xdr:cNvPr>
        <xdr:cNvSpPr txBox="1"/>
      </xdr:nvSpPr>
      <xdr:spPr>
        <a:xfrm>
          <a:off x="14645233" y="2154893"/>
          <a:ext cx="1096361" cy="313403"/>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clientData/>
  </xdr:twoCellAnchor>
  <xdr:twoCellAnchor>
    <xdr:from>
      <xdr:col>5</xdr:col>
      <xdr:colOff>65231</xdr:colOff>
      <xdr:row>9</xdr:row>
      <xdr:rowOff>244475</xdr:rowOff>
    </xdr:from>
    <xdr:to>
      <xdr:col>12</xdr:col>
      <xdr:colOff>575168</xdr:colOff>
      <xdr:row>10</xdr:row>
      <xdr:rowOff>846364</xdr:rowOff>
    </xdr:to>
    <xdr:sp macro="" textlink="">
      <xdr:nvSpPr>
        <xdr:cNvPr id="17" name="吹き出し: 角を丸めた四角形 16">
          <a:extLst>
            <a:ext uri="{FF2B5EF4-FFF2-40B4-BE49-F238E27FC236}">
              <a16:creationId xmlns:a16="http://schemas.microsoft.com/office/drawing/2014/main" id="{091ECA9C-79E2-460B-986A-DDCEA76A5E6A}"/>
            </a:ext>
          </a:extLst>
        </xdr:cNvPr>
        <xdr:cNvSpPr/>
      </xdr:nvSpPr>
      <xdr:spPr>
        <a:xfrm>
          <a:off x="14812172" y="3303681"/>
          <a:ext cx="5137967" cy="1061330"/>
        </a:xfrm>
        <a:prstGeom prst="wedgeRoundRectCallout">
          <a:avLst>
            <a:gd name="adj1" fmla="val -57446"/>
            <a:gd name="adj2" fmla="val -4226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p>
        <a:p>
          <a:pPr algn="l"/>
          <a:r>
            <a:rPr kumimoji="1" lang="ja-JP" altLang="en-US" sz="1200">
              <a:solidFill>
                <a:sysClr val="windowText" lastClr="000000"/>
              </a:solidFill>
              <a:latin typeface="+mn-ea"/>
              <a:ea typeface="+mn-ea"/>
            </a:rPr>
            <a:t>に変更されます。</a:t>
          </a:r>
        </a:p>
        <a:p>
          <a:pPr algn="l"/>
          <a:r>
            <a:rPr kumimoji="1" lang="ja-JP" altLang="en-US" sz="1200">
              <a:solidFill>
                <a:sysClr val="windowText" lastClr="000000"/>
              </a:solidFill>
              <a:latin typeface="+mn-ea"/>
              <a:ea typeface="+mn-ea"/>
            </a:rPr>
            <a:t>・③経費明細書シートの</a:t>
          </a:r>
          <a:r>
            <a:rPr kumimoji="1" lang="en-US" altLang="ja-JP" sz="1200">
              <a:solidFill>
                <a:sysClr val="windowText" lastClr="000000"/>
              </a:solidFill>
              <a:latin typeface="+mn-ea"/>
              <a:ea typeface="+mn-ea"/>
            </a:rPr>
            <a:t>(C-2)</a:t>
          </a:r>
          <a:r>
            <a:rPr kumimoji="1" lang="ja-JP" altLang="en-US" sz="1200">
              <a:solidFill>
                <a:sysClr val="windowText" lastClr="000000"/>
              </a:solidFill>
              <a:latin typeface="+mn-ea"/>
              <a:ea typeface="+mn-ea"/>
            </a:rPr>
            <a:t>補助率交付申請額　</a:t>
          </a:r>
          <a:r>
            <a:rPr kumimoji="1" lang="en-US" altLang="ja-JP" sz="1200">
              <a:solidFill>
                <a:sysClr val="windowText" lastClr="000000"/>
              </a:solidFill>
              <a:latin typeface="+mn-ea"/>
              <a:ea typeface="+mn-ea"/>
            </a:rPr>
            <a:t>1/4</a:t>
          </a:r>
          <a:r>
            <a:rPr kumimoji="1" lang="ja-JP" altLang="en-US" sz="1200">
              <a:solidFill>
                <a:sysClr val="windowText" lastClr="000000"/>
              </a:solidFill>
              <a:latin typeface="+mn-ea"/>
              <a:ea typeface="+mn-ea"/>
            </a:rPr>
            <a:t>の場合</a:t>
          </a:r>
        </a:p>
      </xdr:txBody>
    </xdr:sp>
    <xdr:clientData/>
  </xdr:twoCellAnchor>
  <xdr:twoCellAnchor>
    <xdr:from>
      <xdr:col>8</xdr:col>
      <xdr:colOff>382966</xdr:colOff>
      <xdr:row>9</xdr:row>
      <xdr:rowOff>304274</xdr:rowOff>
    </xdr:from>
    <xdr:to>
      <xdr:col>9</xdr:col>
      <xdr:colOff>459567</xdr:colOff>
      <xdr:row>10</xdr:row>
      <xdr:rowOff>133611</xdr:rowOff>
    </xdr:to>
    <xdr:sp macro="" textlink="">
      <xdr:nvSpPr>
        <xdr:cNvPr id="18" name="テキスト ボックス 17">
          <a:extLst>
            <a:ext uri="{FF2B5EF4-FFF2-40B4-BE49-F238E27FC236}">
              <a16:creationId xmlns:a16="http://schemas.microsoft.com/office/drawing/2014/main" id="{6B147CF3-29A5-4B42-A3AC-612EEBD9E224}"/>
            </a:ext>
          </a:extLst>
        </xdr:cNvPr>
        <xdr:cNvSpPr txBox="1"/>
      </xdr:nvSpPr>
      <xdr:spPr>
        <a:xfrm>
          <a:off x="17113348" y="3363480"/>
          <a:ext cx="737748" cy="288778"/>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clientData/>
  </xdr:twoCellAnchor>
  <xdr:twoCellAnchor>
    <xdr:from>
      <xdr:col>10</xdr:col>
      <xdr:colOff>344901</xdr:colOff>
      <xdr:row>9</xdr:row>
      <xdr:rowOff>301685</xdr:rowOff>
    </xdr:from>
    <xdr:to>
      <xdr:col>12</xdr:col>
      <xdr:colOff>112618</xdr:colOff>
      <xdr:row>10</xdr:row>
      <xdr:rowOff>154713</xdr:rowOff>
    </xdr:to>
    <xdr:sp macro="" textlink="">
      <xdr:nvSpPr>
        <xdr:cNvPr id="19" name="テキスト ボックス 18">
          <a:extLst>
            <a:ext uri="{FF2B5EF4-FFF2-40B4-BE49-F238E27FC236}">
              <a16:creationId xmlns:a16="http://schemas.microsoft.com/office/drawing/2014/main" id="{36F9742C-7661-41D4-89DE-D8908FAE6412}"/>
            </a:ext>
          </a:extLst>
        </xdr:cNvPr>
        <xdr:cNvSpPr txBox="1"/>
      </xdr:nvSpPr>
      <xdr:spPr>
        <a:xfrm>
          <a:off x="18397577" y="3360891"/>
          <a:ext cx="1090012" cy="312469"/>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clientData/>
  </xdr:twoCellAnchor>
  <xdr:twoCellAnchor>
    <xdr:from>
      <xdr:col>4</xdr:col>
      <xdr:colOff>593912</xdr:colOff>
      <xdr:row>12</xdr:row>
      <xdr:rowOff>1030941</xdr:rowOff>
    </xdr:from>
    <xdr:to>
      <xdr:col>4</xdr:col>
      <xdr:colOff>3653912</xdr:colOff>
      <xdr:row>14</xdr:row>
      <xdr:rowOff>64658</xdr:rowOff>
    </xdr:to>
    <xdr:sp macro="" textlink="">
      <xdr:nvSpPr>
        <xdr:cNvPr id="20" name="吹き出し: 角を丸めた四角形 27">
          <a:extLst>
            <a:ext uri="{FF2B5EF4-FFF2-40B4-BE49-F238E27FC236}">
              <a16:creationId xmlns:a16="http://schemas.microsoft.com/office/drawing/2014/main" id="{811FD2EE-8136-4494-B250-703456A1D9D9}"/>
            </a:ext>
          </a:extLst>
        </xdr:cNvPr>
        <xdr:cNvSpPr/>
      </xdr:nvSpPr>
      <xdr:spPr>
        <a:xfrm>
          <a:off x="8684559" y="6555441"/>
          <a:ext cx="3060000" cy="1061982"/>
        </a:xfrm>
        <a:prstGeom prst="wedgeRoundRectCallout">
          <a:avLst>
            <a:gd name="adj1" fmla="val -34731"/>
            <a:gd name="adj2" fmla="val 6701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入力内容が以下項目に反映されます。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・②補助事業情報シートの「提出日」</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　</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2~10</a:t>
          </a:r>
          <a:r>
            <a:rPr kumimoji="1" lang="ja-JP" altLang="en-US" sz="1200">
              <a:solidFill>
                <a:sysClr val="windowText" lastClr="000000"/>
              </a:solidFill>
              <a:latin typeface="+mn-ea"/>
              <a:ea typeface="+mn-ea"/>
            </a:rPr>
            <a:t>シートも同様</a:t>
          </a:r>
          <a:endParaRPr kumimoji="1" lang="en-US" altLang="ja-JP" sz="1200">
            <a:solidFill>
              <a:sysClr val="windowText" lastClr="000000"/>
            </a:solidFill>
            <a:latin typeface="+mn-ea"/>
            <a:ea typeface="+mn-ea"/>
          </a:endParaRPr>
        </a:p>
      </xdr:txBody>
    </xdr:sp>
    <xdr:clientData/>
  </xdr:twoCellAnchor>
  <xdr:twoCellAnchor>
    <xdr:from>
      <xdr:col>4</xdr:col>
      <xdr:colOff>430893</xdr:colOff>
      <xdr:row>17</xdr:row>
      <xdr:rowOff>68035</xdr:rowOff>
    </xdr:from>
    <xdr:to>
      <xdr:col>4</xdr:col>
      <xdr:colOff>3949166</xdr:colOff>
      <xdr:row>20</xdr:row>
      <xdr:rowOff>70549</xdr:rowOff>
    </xdr:to>
    <xdr:sp macro="" textlink="">
      <xdr:nvSpPr>
        <xdr:cNvPr id="21" name="吹き出し: 角を丸めた四角形 20">
          <a:extLst>
            <a:ext uri="{FF2B5EF4-FFF2-40B4-BE49-F238E27FC236}">
              <a16:creationId xmlns:a16="http://schemas.microsoft.com/office/drawing/2014/main" id="{5BDABCAB-D998-4274-B06B-30D7629EA98D}"/>
            </a:ext>
          </a:extLst>
        </xdr:cNvPr>
        <xdr:cNvSpPr/>
      </xdr:nvSpPr>
      <xdr:spPr>
        <a:xfrm>
          <a:off x="8540750" y="9021535"/>
          <a:ext cx="3518273" cy="1390443"/>
        </a:xfrm>
        <a:prstGeom prst="wedgeRoundRectCallout">
          <a:avLst>
            <a:gd name="adj1" fmla="val -54317"/>
            <a:gd name="adj2" fmla="val -6836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入力内容が以下項目に反映されます。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・①申請者情報シートの「事業者名」（</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次・</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次公募の採択、中堅企業要件達成）</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・②補助事業情報シートの「事業者名」</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・③経費明細書シートの「事業者名」</a:t>
          </a:r>
          <a:endParaRPr kumimoji="1" lang="en-US" altLang="ja-JP" sz="1200">
            <a:solidFill>
              <a:sysClr val="windowText" lastClr="000000"/>
            </a:solidFill>
            <a:latin typeface="+mn-ea"/>
            <a:ea typeface="+mn-ea"/>
          </a:endParaRPr>
        </a:p>
      </xdr:txBody>
    </xdr:sp>
    <xdr:clientData/>
  </xdr:twoCellAnchor>
  <xdr:twoCellAnchor>
    <xdr:from>
      <xdr:col>2</xdr:col>
      <xdr:colOff>1180647</xdr:colOff>
      <xdr:row>33</xdr:row>
      <xdr:rowOff>423482</xdr:rowOff>
    </xdr:from>
    <xdr:to>
      <xdr:col>11</xdr:col>
      <xdr:colOff>440020</xdr:colOff>
      <xdr:row>44</xdr:row>
      <xdr:rowOff>127566</xdr:rowOff>
    </xdr:to>
    <xdr:grpSp>
      <xdr:nvGrpSpPr>
        <xdr:cNvPr id="22" name="グループ化 30">
          <a:extLst>
            <a:ext uri="{FF2B5EF4-FFF2-40B4-BE49-F238E27FC236}">
              <a16:creationId xmlns:a16="http://schemas.microsoft.com/office/drawing/2014/main" id="{4C4905A8-3E16-44B0-9530-70D729450450}"/>
            </a:ext>
          </a:extLst>
        </xdr:cNvPr>
        <xdr:cNvGrpSpPr/>
      </xdr:nvGrpSpPr>
      <xdr:grpSpPr>
        <a:xfrm>
          <a:off x="2533197" y="16660432"/>
          <a:ext cx="16620273" cy="4276084"/>
          <a:chOff x="2142150" y="14754999"/>
          <a:chExt cx="16430897" cy="4523048"/>
        </a:xfrm>
      </xdr:grpSpPr>
      <xdr:sp macro="" textlink="">
        <xdr:nvSpPr>
          <xdr:cNvPr id="23" name="吹き出し: 角を丸めた四角形 31">
            <a:extLst>
              <a:ext uri="{FF2B5EF4-FFF2-40B4-BE49-F238E27FC236}">
                <a16:creationId xmlns:a16="http://schemas.microsoft.com/office/drawing/2014/main" id="{EC58B0F4-430B-C5C2-B2BF-A86269C990BB}"/>
              </a:ext>
            </a:extLst>
          </xdr:cNvPr>
          <xdr:cNvSpPr/>
        </xdr:nvSpPr>
        <xdr:spPr>
          <a:xfrm>
            <a:off x="8254035" y="14754999"/>
            <a:ext cx="5040000" cy="1016091"/>
          </a:xfrm>
          <a:prstGeom prst="wedgeRoundRectCallout">
            <a:avLst>
              <a:gd name="adj1" fmla="val -51010"/>
              <a:gd name="adj2" fmla="val 7734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に変更されます。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43</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69</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xdr:txBody>
      </xdr:sp>
      <xdr:sp macro="" textlink="">
        <xdr:nvSpPr>
          <xdr:cNvPr id="24" name="テキスト ボックス 32">
            <a:extLst>
              <a:ext uri="{FF2B5EF4-FFF2-40B4-BE49-F238E27FC236}">
                <a16:creationId xmlns:a16="http://schemas.microsoft.com/office/drawing/2014/main" id="{7810BA06-046C-2CA5-6AAE-10359FCCDFD5}"/>
              </a:ext>
            </a:extLst>
          </xdr:cNvPr>
          <xdr:cNvSpPr txBox="1"/>
        </xdr:nvSpPr>
        <xdr:spPr>
          <a:xfrm>
            <a:off x="10602796" y="14796657"/>
            <a:ext cx="720336" cy="301627"/>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5" name="テキスト ボックス 33">
            <a:extLst>
              <a:ext uri="{FF2B5EF4-FFF2-40B4-BE49-F238E27FC236}">
                <a16:creationId xmlns:a16="http://schemas.microsoft.com/office/drawing/2014/main" id="{99E9FFE3-5459-FE89-A2BA-CBF0A243CB02}"/>
              </a:ext>
            </a:extLst>
          </xdr:cNvPr>
          <xdr:cNvSpPr txBox="1"/>
        </xdr:nvSpPr>
        <xdr:spPr>
          <a:xfrm>
            <a:off x="11758519" y="14801570"/>
            <a:ext cx="1079400" cy="306305"/>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26" name="吹き出し: 角を丸めた四角形 34">
            <a:extLst>
              <a:ext uri="{FF2B5EF4-FFF2-40B4-BE49-F238E27FC236}">
                <a16:creationId xmlns:a16="http://schemas.microsoft.com/office/drawing/2014/main" id="{A9846FFF-B4C7-487D-0A4C-9EC7A10B4842}"/>
              </a:ext>
            </a:extLst>
          </xdr:cNvPr>
          <xdr:cNvSpPr/>
        </xdr:nvSpPr>
        <xdr:spPr>
          <a:xfrm>
            <a:off x="13533047" y="15193560"/>
            <a:ext cx="5040000" cy="1016091"/>
          </a:xfrm>
          <a:prstGeom prst="wedgeRoundRectCallout">
            <a:avLst>
              <a:gd name="adj1" fmla="val -43466"/>
              <a:gd name="adj2" fmla="val 8276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に変更されます。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134</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153</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xdr:txBody>
      </xdr:sp>
      <xdr:sp macro="" textlink="">
        <xdr:nvSpPr>
          <xdr:cNvPr id="27" name="吹き出し: 角を丸めた四角形 35">
            <a:extLst>
              <a:ext uri="{FF2B5EF4-FFF2-40B4-BE49-F238E27FC236}">
                <a16:creationId xmlns:a16="http://schemas.microsoft.com/office/drawing/2014/main" id="{8EA7602B-3729-6A8A-24AE-668D97632EC3}"/>
              </a:ext>
            </a:extLst>
          </xdr:cNvPr>
          <xdr:cNvSpPr/>
        </xdr:nvSpPr>
        <xdr:spPr>
          <a:xfrm>
            <a:off x="8607091" y="16822194"/>
            <a:ext cx="5040000" cy="1016091"/>
          </a:xfrm>
          <a:prstGeom prst="wedgeRoundRectCallout">
            <a:avLst>
              <a:gd name="adj1" fmla="val -56668"/>
              <a:gd name="adj2" fmla="val -29090"/>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に変更されます。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156</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165</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xdr:txBody>
      </xdr:sp>
      <xdr:sp macro="" textlink="">
        <xdr:nvSpPr>
          <xdr:cNvPr id="28" name="テキスト ボックス 36">
            <a:extLst>
              <a:ext uri="{FF2B5EF4-FFF2-40B4-BE49-F238E27FC236}">
                <a16:creationId xmlns:a16="http://schemas.microsoft.com/office/drawing/2014/main" id="{3B6CEEEE-7EE7-5DBF-AE22-97D2B307B768}"/>
              </a:ext>
            </a:extLst>
          </xdr:cNvPr>
          <xdr:cNvSpPr txBox="1"/>
        </xdr:nvSpPr>
        <xdr:spPr>
          <a:xfrm>
            <a:off x="10928693" y="16863853"/>
            <a:ext cx="720336" cy="301627"/>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9" name="テキスト ボックス 37">
            <a:extLst>
              <a:ext uri="{FF2B5EF4-FFF2-40B4-BE49-F238E27FC236}">
                <a16:creationId xmlns:a16="http://schemas.microsoft.com/office/drawing/2014/main" id="{1DB61614-3520-E1F1-7F7D-C0530214F0C6}"/>
              </a:ext>
            </a:extLst>
          </xdr:cNvPr>
          <xdr:cNvSpPr txBox="1"/>
        </xdr:nvSpPr>
        <xdr:spPr>
          <a:xfrm>
            <a:off x="15871471" y="15248429"/>
            <a:ext cx="720336" cy="301627"/>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30" name="テキスト ボックス 38">
            <a:extLst>
              <a:ext uri="{FF2B5EF4-FFF2-40B4-BE49-F238E27FC236}">
                <a16:creationId xmlns:a16="http://schemas.microsoft.com/office/drawing/2014/main" id="{2A979528-6DE9-9804-B2CF-711F9E5D931C}"/>
              </a:ext>
            </a:extLst>
          </xdr:cNvPr>
          <xdr:cNvSpPr txBox="1"/>
        </xdr:nvSpPr>
        <xdr:spPr>
          <a:xfrm>
            <a:off x="17040773" y="15239651"/>
            <a:ext cx="1079400" cy="306305"/>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31" name="吹き出し: 角を丸めた四角形 16">
            <a:extLst>
              <a:ext uri="{FF2B5EF4-FFF2-40B4-BE49-F238E27FC236}">
                <a16:creationId xmlns:a16="http://schemas.microsoft.com/office/drawing/2014/main" id="{D16C196C-2800-8B8A-06CF-D24AE8967693}"/>
              </a:ext>
            </a:extLst>
          </xdr:cNvPr>
          <xdr:cNvSpPr/>
        </xdr:nvSpPr>
        <xdr:spPr>
          <a:xfrm>
            <a:off x="2142150" y="17693308"/>
            <a:ext cx="5715301" cy="1584739"/>
          </a:xfrm>
          <a:prstGeom prst="wedgeRoundRectCallout">
            <a:avLst>
              <a:gd name="adj1" fmla="val -47159"/>
              <a:gd name="adj2" fmla="val -67167"/>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採択時に様式</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スライド）の事務局</a:t>
            </a:r>
            <a:r>
              <a:rPr kumimoji="1" lang="en-US" altLang="ja-JP" sz="1200">
                <a:solidFill>
                  <a:sysClr val="windowText" lastClr="000000"/>
                </a:solidFill>
                <a:latin typeface="+mn-ea"/>
                <a:ea typeface="+mn-ea"/>
              </a:rPr>
              <a:t>HP</a:t>
            </a:r>
            <a:r>
              <a:rPr kumimoji="1" lang="ja-JP" altLang="en-US" sz="1200">
                <a:solidFill>
                  <a:sysClr val="windowText" lastClr="000000"/>
                </a:solidFill>
                <a:latin typeface="+mn-ea"/>
                <a:ea typeface="+mn-ea"/>
              </a:rPr>
              <a:t>への公表について、</a:t>
            </a:r>
          </a:p>
          <a:p>
            <a:pPr algn="l"/>
            <a:r>
              <a:rPr kumimoji="1" lang="ja-JP" altLang="en-US" sz="1200">
                <a:solidFill>
                  <a:sysClr val="windowText" lastClr="000000"/>
                </a:solidFill>
                <a:latin typeface="+mn-ea"/>
                <a:ea typeface="+mn-ea"/>
              </a:rPr>
              <a:t>役員</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人当たりの給与支給額を非公表にすることを希望する場合は</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非公表</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を選択してください。</a:t>
            </a:r>
          </a:p>
          <a:p>
            <a:pPr algn="l"/>
            <a:r>
              <a:rPr kumimoji="1" lang="ja-JP" altLang="en-US" sz="1200">
                <a:solidFill>
                  <a:sysClr val="windowText" lastClr="000000"/>
                </a:solidFill>
                <a:latin typeface="+mn-ea"/>
                <a:ea typeface="+mn-ea"/>
              </a:rPr>
              <a:t>ただし審査に必要な情報となるため、様式</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及び様式</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への記載は必須となります。</a:t>
            </a:r>
          </a:p>
          <a:p>
            <a:pPr algn="l"/>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HP</a:t>
            </a:r>
            <a:r>
              <a:rPr kumimoji="1" lang="ja-JP" altLang="en-US" sz="1200">
                <a:solidFill>
                  <a:sysClr val="windowText" lastClr="000000"/>
                </a:solidFill>
                <a:latin typeface="+mn-ea"/>
                <a:ea typeface="+mn-ea"/>
              </a:rPr>
              <a:t>公表時に事務局にて、当該情報を削除して掲載いたします。）</a:t>
            </a:r>
          </a:p>
        </xdr:txBody>
      </xdr:sp>
      <xdr:sp macro="" textlink="">
        <xdr:nvSpPr>
          <xdr:cNvPr id="32" name="テキスト ボックス 33">
            <a:extLst>
              <a:ext uri="{FF2B5EF4-FFF2-40B4-BE49-F238E27FC236}">
                <a16:creationId xmlns:a16="http://schemas.microsoft.com/office/drawing/2014/main" id="{B635FBB0-8CB3-0372-AE13-3632D4D3D38F}"/>
              </a:ext>
            </a:extLst>
          </xdr:cNvPr>
          <xdr:cNvSpPr txBox="1"/>
        </xdr:nvSpPr>
        <xdr:spPr>
          <a:xfrm>
            <a:off x="12101842" y="16874648"/>
            <a:ext cx="1079400" cy="306305"/>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grpSp>
    <xdr:clientData/>
  </xdr:twoCellAnchor>
  <xdr:twoCellAnchor>
    <xdr:from>
      <xdr:col>4</xdr:col>
      <xdr:colOff>1642465</xdr:colOff>
      <xdr:row>44</xdr:row>
      <xdr:rowOff>163286</xdr:rowOff>
    </xdr:from>
    <xdr:to>
      <xdr:col>5</xdr:col>
      <xdr:colOff>48447</xdr:colOff>
      <xdr:row>49</xdr:row>
      <xdr:rowOff>209096</xdr:rowOff>
    </xdr:to>
    <xdr:sp macro="" textlink="">
      <xdr:nvSpPr>
        <xdr:cNvPr id="33" name="吹き出し: 角を丸めた四角形 32">
          <a:extLst>
            <a:ext uri="{FF2B5EF4-FFF2-40B4-BE49-F238E27FC236}">
              <a16:creationId xmlns:a16="http://schemas.microsoft.com/office/drawing/2014/main" id="{B6F321FE-B660-416D-9D41-C671B4C2B6CC}"/>
            </a:ext>
          </a:extLst>
        </xdr:cNvPr>
        <xdr:cNvSpPr/>
      </xdr:nvSpPr>
      <xdr:spPr>
        <a:xfrm>
          <a:off x="9752322" y="21145500"/>
          <a:ext cx="5059875" cy="2359025"/>
        </a:xfrm>
        <a:prstGeom prst="wedgeRoundRectCallout">
          <a:avLst>
            <a:gd name="adj1" fmla="val -34010"/>
            <a:gd name="adj2" fmla="val -7025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入力内容が以下項目に反映されます。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・①申請者情報シートの「事業者名」（</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次・</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次公募の採択、中堅企業要件達成）</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・②補助事業情報</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シートの「事業者名」</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・③経費明細書シートの「事業者名</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また、入力に応じて③経費明細書シートの該当項目が</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から　　　　　に変更されます。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申請者</a:t>
          </a:r>
          <a:r>
            <a:rPr kumimoji="1" lang="en-US" altLang="ja-JP" sz="1200">
              <a:solidFill>
                <a:sysClr val="windowText" lastClr="000000"/>
              </a:solidFill>
              <a:latin typeface="+mn-ea"/>
              <a:ea typeface="+mn-ea"/>
            </a:rPr>
            <a:t>3~10</a:t>
          </a:r>
          <a:r>
            <a:rPr kumimoji="1" lang="ja-JP" altLang="en-US" sz="1200">
              <a:solidFill>
                <a:sysClr val="windowText" lastClr="000000"/>
              </a:solidFill>
              <a:latin typeface="+mn-ea"/>
              <a:ea typeface="+mn-ea"/>
            </a:rPr>
            <a:t>も同様</a:t>
          </a:r>
          <a:endParaRPr kumimoji="1" lang="en-US" altLang="ja-JP" sz="1200">
            <a:solidFill>
              <a:sysClr val="windowText" lastClr="000000"/>
            </a:solidFill>
            <a:latin typeface="+mn-ea"/>
            <a:ea typeface="+mn-ea"/>
          </a:endParaRPr>
        </a:p>
      </xdr:txBody>
    </xdr:sp>
    <xdr:clientData/>
  </xdr:twoCellAnchor>
  <xdr:twoCellAnchor>
    <xdr:from>
      <xdr:col>4</xdr:col>
      <xdr:colOff>2091948</xdr:colOff>
      <xdr:row>47</xdr:row>
      <xdr:rowOff>420459</xdr:rowOff>
    </xdr:from>
    <xdr:to>
      <xdr:col>4</xdr:col>
      <xdr:colOff>2823288</xdr:colOff>
      <xdr:row>48</xdr:row>
      <xdr:rowOff>268514</xdr:rowOff>
    </xdr:to>
    <xdr:sp macro="" textlink="">
      <xdr:nvSpPr>
        <xdr:cNvPr id="34" name="テキスト ボックス 33">
          <a:extLst>
            <a:ext uri="{FF2B5EF4-FFF2-40B4-BE49-F238E27FC236}">
              <a16:creationId xmlns:a16="http://schemas.microsoft.com/office/drawing/2014/main" id="{5C083EDD-D721-471D-A7B1-87D52EDCB81C}"/>
            </a:ext>
          </a:extLst>
        </xdr:cNvPr>
        <xdr:cNvSpPr txBox="1"/>
      </xdr:nvSpPr>
      <xdr:spPr>
        <a:xfrm>
          <a:off x="10201805" y="22790602"/>
          <a:ext cx="731340" cy="310698"/>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clientData/>
  </xdr:twoCellAnchor>
  <xdr:twoCellAnchor>
    <xdr:from>
      <xdr:col>4</xdr:col>
      <xdr:colOff>5485012</xdr:colOff>
      <xdr:row>47</xdr:row>
      <xdr:rowOff>171520</xdr:rowOff>
    </xdr:from>
    <xdr:to>
      <xdr:col>4</xdr:col>
      <xdr:colOff>6579329</xdr:colOff>
      <xdr:row>47</xdr:row>
      <xdr:rowOff>460441</xdr:rowOff>
    </xdr:to>
    <xdr:sp macro="" textlink="">
      <xdr:nvSpPr>
        <xdr:cNvPr id="35" name="テキスト ボックス 34">
          <a:extLst>
            <a:ext uri="{FF2B5EF4-FFF2-40B4-BE49-F238E27FC236}">
              <a16:creationId xmlns:a16="http://schemas.microsoft.com/office/drawing/2014/main" id="{EA11C993-F425-4C0D-AC42-1EB8AE5F27B1}"/>
            </a:ext>
          </a:extLst>
        </xdr:cNvPr>
        <xdr:cNvSpPr txBox="1"/>
      </xdr:nvSpPr>
      <xdr:spPr>
        <a:xfrm>
          <a:off x="13594869" y="22541663"/>
          <a:ext cx="1094317" cy="288921"/>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clientData/>
  </xdr:twoCellAnchor>
  <xdr:twoCellAnchor>
    <xdr:from>
      <xdr:col>4</xdr:col>
      <xdr:colOff>54429</xdr:colOff>
      <xdr:row>49</xdr:row>
      <xdr:rowOff>353620</xdr:rowOff>
    </xdr:from>
    <xdr:to>
      <xdr:col>4</xdr:col>
      <xdr:colOff>6435954</xdr:colOff>
      <xdr:row>69</xdr:row>
      <xdr:rowOff>36286</xdr:rowOff>
    </xdr:to>
    <xdr:sp macro="" textlink="">
      <xdr:nvSpPr>
        <xdr:cNvPr id="36" name="四角形: 角を丸くする 35">
          <a:extLst>
            <a:ext uri="{FF2B5EF4-FFF2-40B4-BE49-F238E27FC236}">
              <a16:creationId xmlns:a16="http://schemas.microsoft.com/office/drawing/2014/main" id="{7A82D258-15B3-4A71-97BF-66FB84F4C74B}"/>
            </a:ext>
          </a:extLst>
        </xdr:cNvPr>
        <xdr:cNvSpPr/>
      </xdr:nvSpPr>
      <xdr:spPr>
        <a:xfrm>
          <a:off x="8164286" y="23649049"/>
          <a:ext cx="6381525" cy="607951"/>
        </a:xfrm>
        <a:prstGeom prst="roundRect">
          <a:avLst>
            <a:gd name="adj" fmla="val 5966"/>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b="0">
              <a:solidFill>
                <a:sysClr val="windowText" lastClr="000000"/>
              </a:solidFill>
              <a:latin typeface="+mn-ea"/>
              <a:ea typeface="+mn-ea"/>
            </a:rPr>
            <a:t>補助対象外の申請者も含めて全申請者を入力し、合わせて②補助事業情報</a:t>
          </a:r>
          <a:r>
            <a:rPr kumimoji="1" lang="en-US" altLang="ja-JP" sz="1200" b="0">
              <a:solidFill>
                <a:sysClr val="windowText" lastClr="000000"/>
              </a:solidFill>
              <a:latin typeface="+mn-ea"/>
              <a:ea typeface="+mn-ea"/>
            </a:rPr>
            <a:t>(</a:t>
          </a:r>
          <a:r>
            <a:rPr kumimoji="1" lang="ja-JP" altLang="en-US" sz="1200" b="0">
              <a:solidFill>
                <a:sysClr val="windowText" lastClr="000000"/>
              </a:solidFill>
              <a:latin typeface="+mn-ea"/>
              <a:ea typeface="+mn-ea"/>
            </a:rPr>
            <a:t>事業者</a:t>
          </a:r>
          <a:r>
            <a:rPr kumimoji="1" lang="en-US" altLang="ja-JP" sz="1200" b="0">
              <a:solidFill>
                <a:sysClr val="windowText" lastClr="000000"/>
              </a:solidFill>
              <a:latin typeface="+mn-ea"/>
              <a:ea typeface="+mn-ea"/>
            </a:rPr>
            <a:t>2~10)</a:t>
          </a:r>
          <a:r>
            <a:rPr kumimoji="1" lang="ja-JP" altLang="en-US" sz="1200" b="0">
              <a:solidFill>
                <a:sysClr val="windowText" lastClr="000000"/>
              </a:solidFill>
              <a:latin typeface="+mn-ea"/>
              <a:ea typeface="+mn-ea"/>
            </a:rPr>
            <a:t>シート、③経費明細書シートを入力してください。</a:t>
          </a:r>
          <a:endParaRPr kumimoji="1" lang="en-US" altLang="ja-JP" sz="1200" b="0">
            <a:solidFill>
              <a:sysClr val="windowText" lastClr="000000"/>
            </a:solidFill>
            <a:latin typeface="+mn-ea"/>
            <a:ea typeface="+mn-ea"/>
          </a:endParaRPr>
        </a:p>
      </xdr:txBody>
    </xdr:sp>
    <xdr:clientData/>
  </xdr:twoCellAnchor>
  <xdr:twoCellAnchor>
    <xdr:from>
      <xdr:col>5</xdr:col>
      <xdr:colOff>236311</xdr:colOff>
      <xdr:row>72</xdr:row>
      <xdr:rowOff>304801</xdr:rowOff>
    </xdr:from>
    <xdr:to>
      <xdr:col>13</xdr:col>
      <xdr:colOff>94786</xdr:colOff>
      <xdr:row>75</xdr:row>
      <xdr:rowOff>109311</xdr:rowOff>
    </xdr:to>
    <xdr:sp macro="" textlink="">
      <xdr:nvSpPr>
        <xdr:cNvPr id="37" name="吹き出し: 角を丸めた四角形 36">
          <a:extLst>
            <a:ext uri="{FF2B5EF4-FFF2-40B4-BE49-F238E27FC236}">
              <a16:creationId xmlns:a16="http://schemas.microsoft.com/office/drawing/2014/main" id="{1761FC00-637D-42BF-876B-D29C37FC5A66}"/>
            </a:ext>
          </a:extLst>
        </xdr:cNvPr>
        <xdr:cNvSpPr/>
      </xdr:nvSpPr>
      <xdr:spPr>
        <a:xfrm>
          <a:off x="15000061" y="25450801"/>
          <a:ext cx="5083618" cy="1192439"/>
        </a:xfrm>
        <a:prstGeom prst="wedgeRoundRectCallout">
          <a:avLst>
            <a:gd name="adj1" fmla="val -60889"/>
            <a:gd name="adj2" fmla="val -50193"/>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p>
        <a:p>
          <a:pPr algn="l"/>
          <a:r>
            <a:rPr kumimoji="1" lang="ja-JP" altLang="en-US" sz="1200">
              <a:solidFill>
                <a:sysClr val="windowText" lastClr="000000"/>
              </a:solidFill>
              <a:latin typeface="+mn-ea"/>
              <a:ea typeface="+mn-ea"/>
            </a:rPr>
            <a:t>に変更されます。</a:t>
          </a: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74</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76</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以降も同様</a:t>
          </a:r>
        </a:p>
      </xdr:txBody>
    </xdr:sp>
    <xdr:clientData/>
  </xdr:twoCellAnchor>
  <xdr:twoCellAnchor>
    <xdr:from>
      <xdr:col>10</xdr:col>
      <xdr:colOff>569205</xdr:colOff>
      <xdr:row>72</xdr:row>
      <xdr:rowOff>370638</xdr:rowOff>
    </xdr:from>
    <xdr:to>
      <xdr:col>12</xdr:col>
      <xdr:colOff>357236</xdr:colOff>
      <xdr:row>73</xdr:row>
      <xdr:rowOff>185057</xdr:rowOff>
    </xdr:to>
    <xdr:sp macro="" textlink="">
      <xdr:nvSpPr>
        <xdr:cNvPr id="38" name="テキスト ボックス 37">
          <a:extLst>
            <a:ext uri="{FF2B5EF4-FFF2-40B4-BE49-F238E27FC236}">
              <a16:creationId xmlns:a16="http://schemas.microsoft.com/office/drawing/2014/main" id="{DB7E0FEE-26DE-49D3-99E1-3D60DCB2F157}"/>
            </a:ext>
          </a:extLst>
        </xdr:cNvPr>
        <xdr:cNvSpPr txBox="1"/>
      </xdr:nvSpPr>
      <xdr:spPr>
        <a:xfrm>
          <a:off x="18598669" y="25516638"/>
          <a:ext cx="1094317" cy="277062"/>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clientData/>
  </xdr:twoCellAnchor>
  <xdr:twoCellAnchor>
    <xdr:from>
      <xdr:col>8</xdr:col>
      <xdr:colOff>581101</xdr:colOff>
      <xdr:row>72</xdr:row>
      <xdr:rowOff>346527</xdr:rowOff>
    </xdr:from>
    <xdr:to>
      <xdr:col>9</xdr:col>
      <xdr:colOff>652949</xdr:colOff>
      <xdr:row>73</xdr:row>
      <xdr:rowOff>185057</xdr:rowOff>
    </xdr:to>
    <xdr:sp macro="" textlink="">
      <xdr:nvSpPr>
        <xdr:cNvPr id="39" name="テキスト ボックス 38">
          <a:extLst>
            <a:ext uri="{FF2B5EF4-FFF2-40B4-BE49-F238E27FC236}">
              <a16:creationId xmlns:a16="http://schemas.microsoft.com/office/drawing/2014/main" id="{CD528E03-A06E-4FC2-85B8-E7710F209729}"/>
            </a:ext>
          </a:extLst>
        </xdr:cNvPr>
        <xdr:cNvSpPr txBox="1"/>
      </xdr:nvSpPr>
      <xdr:spPr>
        <a:xfrm>
          <a:off x="17304280" y="25492527"/>
          <a:ext cx="724990" cy="301173"/>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clientData/>
  </xdr:twoCellAnchor>
  <xdr:twoCellAnchor>
    <xdr:from>
      <xdr:col>0</xdr:col>
      <xdr:colOff>204107</xdr:colOff>
      <xdr:row>218</xdr:row>
      <xdr:rowOff>204107</xdr:rowOff>
    </xdr:from>
    <xdr:to>
      <xdr:col>4</xdr:col>
      <xdr:colOff>2391137</xdr:colOff>
      <xdr:row>220</xdr:row>
      <xdr:rowOff>38736</xdr:rowOff>
    </xdr:to>
    <xdr:sp macro="" textlink="">
      <xdr:nvSpPr>
        <xdr:cNvPr id="41" name="四角形: 角を丸くする 40">
          <a:extLst>
            <a:ext uri="{FF2B5EF4-FFF2-40B4-BE49-F238E27FC236}">
              <a16:creationId xmlns:a16="http://schemas.microsoft.com/office/drawing/2014/main" id="{28E3B8B2-200D-4720-9C06-C86A501B6238}"/>
            </a:ext>
          </a:extLst>
        </xdr:cNvPr>
        <xdr:cNvSpPr/>
      </xdr:nvSpPr>
      <xdr:spPr>
        <a:xfrm>
          <a:off x="204107" y="45937714"/>
          <a:ext cx="10296887" cy="324486"/>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2</xdr:col>
      <xdr:colOff>686997</xdr:colOff>
      <xdr:row>220</xdr:row>
      <xdr:rowOff>146158</xdr:rowOff>
    </xdr:from>
    <xdr:to>
      <xdr:col>3</xdr:col>
      <xdr:colOff>137762</xdr:colOff>
      <xdr:row>223</xdr:row>
      <xdr:rowOff>18871</xdr:rowOff>
    </xdr:to>
    <xdr:sp macro="" textlink="">
      <xdr:nvSpPr>
        <xdr:cNvPr id="42" name="吹き出し: 角を丸めた四角形 41">
          <a:extLst>
            <a:ext uri="{FF2B5EF4-FFF2-40B4-BE49-F238E27FC236}">
              <a16:creationId xmlns:a16="http://schemas.microsoft.com/office/drawing/2014/main" id="{2B6476BC-4B41-4835-B2F1-DA32F46D8E61}"/>
            </a:ext>
          </a:extLst>
        </xdr:cNvPr>
        <xdr:cNvSpPr/>
      </xdr:nvSpPr>
      <xdr:spPr>
        <a:xfrm>
          <a:off x="2047711" y="46369622"/>
          <a:ext cx="1872837" cy="566678"/>
        </a:xfrm>
        <a:prstGeom prst="wedgeRoundRectCallout">
          <a:avLst>
            <a:gd name="adj1" fmla="val -39769"/>
            <a:gd name="adj2" fmla="val -93817"/>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5</xdr:col>
      <xdr:colOff>238498</xdr:colOff>
      <xdr:row>76</xdr:row>
      <xdr:rowOff>75266</xdr:rowOff>
    </xdr:from>
    <xdr:to>
      <xdr:col>10</xdr:col>
      <xdr:colOff>526575</xdr:colOff>
      <xdr:row>79</xdr:row>
      <xdr:rowOff>277956</xdr:rowOff>
    </xdr:to>
    <xdr:sp macro="" textlink="">
      <xdr:nvSpPr>
        <xdr:cNvPr id="46" name="吹き出し: 角を丸めた四角形 45">
          <a:extLst>
            <a:ext uri="{FF2B5EF4-FFF2-40B4-BE49-F238E27FC236}">
              <a16:creationId xmlns:a16="http://schemas.microsoft.com/office/drawing/2014/main" id="{9A8FED0F-F827-418C-8450-C056B97F82BF}"/>
            </a:ext>
          </a:extLst>
        </xdr:cNvPr>
        <xdr:cNvSpPr/>
      </xdr:nvSpPr>
      <xdr:spPr>
        <a:xfrm>
          <a:off x="14985439" y="26902148"/>
          <a:ext cx="3593812" cy="1581014"/>
        </a:xfrm>
        <a:prstGeom prst="wedgeRoundRectCallout">
          <a:avLst>
            <a:gd name="adj1" fmla="val -60812"/>
            <a:gd name="adj2" fmla="val -4492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大分類「</a:t>
          </a:r>
          <a:r>
            <a:rPr kumimoji="1" lang="en-US" altLang="ja-JP" sz="1200">
              <a:solidFill>
                <a:sysClr val="windowText" lastClr="000000"/>
              </a:solidFill>
              <a:latin typeface="+mn-ea"/>
              <a:ea typeface="+mn-ea"/>
            </a:rPr>
            <a:t>T_</a:t>
          </a:r>
          <a:r>
            <a:rPr kumimoji="1" lang="ja-JP" altLang="en-US" sz="1200">
              <a:solidFill>
                <a:sysClr val="windowText" lastClr="000000"/>
              </a:solidFill>
              <a:latin typeface="+mn-ea"/>
              <a:ea typeface="+mn-ea"/>
            </a:rPr>
            <a:t>分類不能」、小分類「”その他の”もしくは”他に分類されない”から始まる産業」を選択した場合は記載ください。</a:t>
          </a:r>
          <a:endParaRPr kumimoji="1" lang="en-US" altLang="ja-JP" sz="1200">
            <a:solidFill>
              <a:sysClr val="windowText" lastClr="000000"/>
            </a:solidFill>
            <a:latin typeface="+mn-ea"/>
            <a:ea typeface="+mn-ea"/>
          </a:endParaRPr>
        </a:p>
      </xdr:txBody>
    </xdr:sp>
    <xdr:clientData/>
  </xdr:twoCellAnchor>
  <xdr:twoCellAnchor>
    <xdr:from>
      <xdr:col>5</xdr:col>
      <xdr:colOff>391186</xdr:colOff>
      <xdr:row>49</xdr:row>
      <xdr:rowOff>363681</xdr:rowOff>
    </xdr:from>
    <xdr:to>
      <xdr:col>11</xdr:col>
      <xdr:colOff>21172</xdr:colOff>
      <xdr:row>71</xdr:row>
      <xdr:rowOff>430645</xdr:rowOff>
    </xdr:to>
    <xdr:sp macro="" textlink="">
      <xdr:nvSpPr>
        <xdr:cNvPr id="43" name="吹き出し: 角を丸めた四角形 42">
          <a:extLst>
            <a:ext uri="{FF2B5EF4-FFF2-40B4-BE49-F238E27FC236}">
              <a16:creationId xmlns:a16="http://schemas.microsoft.com/office/drawing/2014/main" id="{8EC59AFD-9B02-9FED-F21D-76AB0CB2B7E6}"/>
            </a:ext>
          </a:extLst>
        </xdr:cNvPr>
        <xdr:cNvSpPr/>
      </xdr:nvSpPr>
      <xdr:spPr>
        <a:xfrm>
          <a:off x="15146277" y="23189045"/>
          <a:ext cx="3578531" cy="1417782"/>
        </a:xfrm>
        <a:prstGeom prst="wedgeRoundRectCallout">
          <a:avLst>
            <a:gd name="adj1" fmla="val -71449"/>
            <a:gd name="adj2" fmla="val 4014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事業者名は自動反映されますが、</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次・</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次公募で採択されているみなし同一法人がいる場合は、事業者名を自身で記載ください。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25587</xdr:colOff>
      <xdr:row>8</xdr:row>
      <xdr:rowOff>104029</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49881FCA-AB66-4D5B-8CE2-6477490B5C6E}"/>
            </a:ext>
          </a:extLst>
        </xdr:cNvPr>
        <xdr:cNvGrpSpPr/>
      </xdr:nvGrpSpPr>
      <xdr:grpSpPr>
        <a:xfrm>
          <a:off x="13170087" y="1716929"/>
          <a:ext cx="9237475" cy="250319"/>
          <a:chOff x="12192000" y="1333501"/>
          <a:chExt cx="7596000" cy="252000"/>
        </a:xfrm>
      </xdr:grpSpPr>
      <xdr:cxnSp macro="">
        <xdr:nvCxnSpPr>
          <xdr:cNvPr id="3" name="直線矢印コネクタ 2">
            <a:extLst>
              <a:ext uri="{FF2B5EF4-FFF2-40B4-BE49-F238E27FC236}">
                <a16:creationId xmlns:a16="http://schemas.microsoft.com/office/drawing/2014/main" id="{D52616F7-D167-980D-48A3-AF598760D662}"/>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6D6D64E7-2FBC-736E-D7E4-2D2B0F92C39C}"/>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734328</xdr:colOff>
      <xdr:row>6</xdr:row>
      <xdr:rowOff>27558</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6B15A706-6E30-4843-A4AD-74BFED976DAE}"/>
            </a:ext>
          </a:extLst>
        </xdr:cNvPr>
        <xdr:cNvGrpSpPr/>
      </xdr:nvGrpSpPr>
      <xdr:grpSpPr>
        <a:xfrm>
          <a:off x="17441178" y="1234058"/>
          <a:ext cx="4966384" cy="435922"/>
          <a:chOff x="9429751" y="685800"/>
          <a:chExt cx="4032000" cy="432000"/>
        </a:xfrm>
      </xdr:grpSpPr>
      <xdr:sp macro="" textlink="">
        <xdr:nvSpPr>
          <xdr:cNvPr id="6" name="テキスト ボックス 5">
            <a:extLst>
              <a:ext uri="{FF2B5EF4-FFF2-40B4-BE49-F238E27FC236}">
                <a16:creationId xmlns:a16="http://schemas.microsoft.com/office/drawing/2014/main" id="{0A89B417-3336-20A6-5373-6675A7288A85}"/>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489891B4-1E7E-91C7-9B07-C8643044FF0C}"/>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6FEE53C5-0262-CFA8-2D24-574E50BCA87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664B55B4-87F4-97A8-B71E-A0BA7396230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51F6B7CE-B12B-D434-D7B3-8B351F245860}"/>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0</xdr:colOff>
      <xdr:row>2</xdr:row>
      <xdr:rowOff>240470</xdr:rowOff>
    </xdr:from>
    <xdr:to>
      <xdr:col>13</xdr:col>
      <xdr:colOff>808321</xdr:colOff>
      <xdr:row>3</xdr:row>
      <xdr:rowOff>160261</xdr:rowOff>
    </xdr:to>
    <xdr:grpSp>
      <xdr:nvGrpSpPr>
        <xdr:cNvPr id="11" name="グループ化 10">
          <a:extLst>
            <a:ext uri="{FF2B5EF4-FFF2-40B4-BE49-F238E27FC236}">
              <a16:creationId xmlns:a16="http://schemas.microsoft.com/office/drawing/2014/main" id="{7C505CCF-29CE-490A-9DAC-B9E7F30C0489}"/>
            </a:ext>
          </a:extLst>
        </xdr:cNvPr>
        <xdr:cNvGrpSpPr/>
      </xdr:nvGrpSpPr>
      <xdr:grpSpPr>
        <a:xfrm>
          <a:off x="711200" y="519870"/>
          <a:ext cx="17991421" cy="205541"/>
          <a:chOff x="10186146" y="579822"/>
          <a:chExt cx="16208377" cy="216000"/>
        </a:xfrm>
      </xdr:grpSpPr>
      <xdr:sp macro="" textlink="">
        <xdr:nvSpPr>
          <xdr:cNvPr id="12" name="テキスト ボックス 11">
            <a:extLst>
              <a:ext uri="{FF2B5EF4-FFF2-40B4-BE49-F238E27FC236}">
                <a16:creationId xmlns:a16="http://schemas.microsoft.com/office/drawing/2014/main" id="{5519F083-6A40-66B0-8BB6-0C6EBB19C0B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3" name="テキスト ボックス 12">
            <a:extLst>
              <a:ext uri="{FF2B5EF4-FFF2-40B4-BE49-F238E27FC236}">
                <a16:creationId xmlns:a16="http://schemas.microsoft.com/office/drawing/2014/main" id="{34D5F8C0-6340-B151-65E1-116EC21C51AD}"/>
              </a:ext>
            </a:extLst>
          </xdr:cNvPr>
          <xdr:cNvSpPr txBox="1"/>
        </xdr:nvSpPr>
        <xdr:spPr>
          <a:xfrm>
            <a:off x="10914525" y="580804"/>
            <a:ext cx="15479998"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r>
              <a:rPr kumimoji="1" lang="en-US" altLang="ja-JP" sz="1100" b="1">
                <a:solidFill>
                  <a:schemeClr val="accent1"/>
                </a:solidFill>
              </a:rPr>
              <a:t>※①</a:t>
            </a:r>
            <a:r>
              <a:rPr kumimoji="1" lang="ja-JP" altLang="en-US" sz="1100" b="1">
                <a:solidFill>
                  <a:schemeClr val="accent1"/>
                </a:solidFill>
              </a:rPr>
              <a:t>申請者情報シートにも同様の欄があります。共にワーニングメッセージが表示されていないことを確認してください。</a:t>
            </a:r>
          </a:p>
        </xdr:txBody>
      </xdr:sp>
    </xdr:grpSp>
    <xdr:clientData/>
  </xdr:twoCellAnchor>
  <xdr:twoCellAnchor>
    <xdr:from>
      <xdr:col>5</xdr:col>
      <xdr:colOff>706219</xdr:colOff>
      <xdr:row>8</xdr:row>
      <xdr:rowOff>114300</xdr:rowOff>
    </xdr:from>
    <xdr:to>
      <xdr:col>5</xdr:col>
      <xdr:colOff>2362219</xdr:colOff>
      <xdr:row>12</xdr:row>
      <xdr:rowOff>104241</xdr:rowOff>
    </xdr:to>
    <xdr:cxnSp macro="">
      <xdr:nvCxnSpPr>
        <xdr:cNvPr id="14" name="直線矢印コネクタ 11">
          <a:extLst>
            <a:ext uri="{FF2B5EF4-FFF2-40B4-BE49-F238E27FC236}">
              <a16:creationId xmlns:a16="http://schemas.microsoft.com/office/drawing/2014/main" id="{A8D6577A-4FDA-48FA-ADB6-46112F1224E0}"/>
            </a:ext>
          </a:extLst>
        </xdr:cNvPr>
        <xdr:cNvCxnSpPr/>
      </xdr:nvCxnSpPr>
      <xdr:spPr>
        <a:xfrm rot="10800000">
          <a:off x="7907119" y="1714500"/>
          <a:ext cx="1656000" cy="850366"/>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33619</xdr:colOff>
      <xdr:row>8</xdr:row>
      <xdr:rowOff>114300</xdr:rowOff>
    </xdr:from>
    <xdr:to>
      <xdr:col>5</xdr:col>
      <xdr:colOff>609619</xdr:colOff>
      <xdr:row>12</xdr:row>
      <xdr:rowOff>104241</xdr:rowOff>
    </xdr:to>
    <xdr:cxnSp macro="">
      <xdr:nvCxnSpPr>
        <xdr:cNvPr id="15" name="直線矢印コネクタ 11">
          <a:extLst>
            <a:ext uri="{FF2B5EF4-FFF2-40B4-BE49-F238E27FC236}">
              <a16:creationId xmlns:a16="http://schemas.microsoft.com/office/drawing/2014/main" id="{3EDBDC1B-8161-4FFD-B6D6-31B1E939F6A8}"/>
            </a:ext>
          </a:extLst>
        </xdr:cNvPr>
        <xdr:cNvCxnSpPr/>
      </xdr:nvCxnSpPr>
      <xdr:spPr>
        <a:xfrm rot="10800000" flipH="1">
          <a:off x="7231344" y="1714500"/>
          <a:ext cx="579175" cy="850366"/>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89666</xdr:colOff>
      <xdr:row>4</xdr:row>
      <xdr:rowOff>0</xdr:rowOff>
    </xdr:from>
    <xdr:to>
      <xdr:col>12</xdr:col>
      <xdr:colOff>627813</xdr:colOff>
      <xdr:row>8</xdr:row>
      <xdr:rowOff>123264</xdr:rowOff>
    </xdr:to>
    <xdr:sp macro="" textlink="">
      <xdr:nvSpPr>
        <xdr:cNvPr id="16" name="テキスト ボックス 15">
          <a:extLst>
            <a:ext uri="{FF2B5EF4-FFF2-40B4-BE49-F238E27FC236}">
              <a16:creationId xmlns:a16="http://schemas.microsoft.com/office/drawing/2014/main" id="{E3966853-D4AC-421C-8AC8-6B622363ED15}"/>
            </a:ext>
          </a:extLst>
        </xdr:cNvPr>
        <xdr:cNvSpPr txBox="1"/>
      </xdr:nvSpPr>
      <xdr:spPr>
        <a:xfrm>
          <a:off x="7287391" y="762000"/>
          <a:ext cx="10075847" cy="964639"/>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square" lIns="36000" tIns="0" rIns="36000" bIns="0" rtlCol="0" anchor="ctr"/>
        <a:lstStyle/>
        <a:p>
          <a:r>
            <a:rPr kumimoji="1" lang="ja-JP" altLang="en-US" sz="1100">
              <a:solidFill>
                <a:schemeClr val="accent1"/>
              </a:solidFill>
            </a:rPr>
            <a:t>新設会社等で決算が一度も確定していない場合、</a:t>
          </a:r>
          <a:r>
            <a:rPr kumimoji="1" lang="en-US" altLang="ja-JP" sz="1100">
              <a:solidFill>
                <a:schemeClr val="accent1"/>
              </a:solidFill>
            </a:rPr>
            <a:t>"</a:t>
          </a:r>
          <a:r>
            <a:rPr kumimoji="1" lang="ja-JP" altLang="en-US" sz="1100">
              <a:solidFill>
                <a:schemeClr val="accent1"/>
              </a:solidFill>
            </a:rPr>
            <a:t>適用する</a:t>
          </a:r>
          <a:r>
            <a:rPr kumimoji="1" lang="en-US" altLang="ja-JP" sz="1100">
              <a:solidFill>
                <a:schemeClr val="accent1"/>
              </a:solidFill>
            </a:rPr>
            <a:t>"</a:t>
          </a:r>
          <a:r>
            <a:rPr kumimoji="1" lang="ja-JP" altLang="en-US" sz="1100">
              <a:solidFill>
                <a:schemeClr val="accent1"/>
              </a:solidFill>
            </a:rPr>
            <a:t>を選択可能です。これにより基準年度が「</a:t>
          </a:r>
          <a:r>
            <a:rPr kumimoji="1" lang="en-US" altLang="ja-JP" sz="1100">
              <a:solidFill>
                <a:schemeClr val="accent1"/>
              </a:solidFill>
            </a:rPr>
            <a:t>(5)</a:t>
          </a:r>
          <a:r>
            <a:rPr kumimoji="1" lang="ja-JP" altLang="en-US" sz="1100">
              <a:solidFill>
                <a:schemeClr val="accent1"/>
              </a:solidFill>
            </a:rPr>
            <a:t>の翌事業年度」となります。</a:t>
          </a:r>
        </a:p>
        <a:p>
          <a:r>
            <a:rPr kumimoji="1" lang="en-US" altLang="ja-JP" sz="1100">
              <a:solidFill>
                <a:schemeClr val="accent1"/>
              </a:solidFill>
            </a:rPr>
            <a:t>※</a:t>
          </a:r>
          <a:r>
            <a:rPr kumimoji="1" lang="ja-JP" altLang="en-US" sz="1100">
              <a:solidFill>
                <a:schemeClr val="accent1"/>
              </a:solidFill>
            </a:rPr>
            <a:t>会社を新設し従業員を新たに雇用するケース等においては、補助事業を完了した日の属する事業年度（基準年度）に、</a:t>
          </a:r>
        </a:p>
        <a:p>
          <a:r>
            <a:rPr kumimoji="1" lang="ja-JP" altLang="en-US" sz="1100">
              <a:solidFill>
                <a:schemeClr val="accent1"/>
              </a:solidFill>
            </a:rPr>
            <a:t>　</a:t>
          </a:r>
          <a:r>
            <a:rPr kumimoji="1" lang="en-US" altLang="ja-JP" sz="1100">
              <a:solidFill>
                <a:schemeClr val="accent1"/>
              </a:solidFill>
            </a:rPr>
            <a:t>12</a:t>
          </a:r>
          <a:r>
            <a:rPr kumimoji="1" lang="ja-JP" altLang="en-US" sz="1100">
              <a:solidFill>
                <a:schemeClr val="accent1"/>
              </a:solidFill>
            </a:rPr>
            <a:t>か月雇用している従業員がおらず、賃上げの確認が難しいことを想定</a:t>
          </a:r>
        </a:p>
        <a:p>
          <a:r>
            <a:rPr kumimoji="1" lang="ja-JP" altLang="en-US" sz="1100">
              <a:solidFill>
                <a:schemeClr val="accent1"/>
              </a:solidFill>
            </a:rPr>
            <a:t>確定決算がある場合や申請時点ですでに事業を実施しており新規事業を補助事業とする場合は、</a:t>
          </a:r>
          <a:r>
            <a:rPr kumimoji="1" lang="en-US" altLang="ja-JP" sz="1100">
              <a:solidFill>
                <a:schemeClr val="accent1"/>
              </a:solidFill>
            </a:rPr>
            <a:t>"</a:t>
          </a:r>
          <a:r>
            <a:rPr kumimoji="1" lang="ja-JP" altLang="en-US" sz="1100">
              <a:solidFill>
                <a:schemeClr val="accent1"/>
              </a:solidFill>
            </a:rPr>
            <a:t>適用しない</a:t>
          </a:r>
          <a:r>
            <a:rPr kumimoji="1" lang="en-US" altLang="ja-JP" sz="1100">
              <a:solidFill>
                <a:schemeClr val="accent1"/>
              </a:solidFill>
            </a:rPr>
            <a:t>"</a:t>
          </a:r>
          <a:r>
            <a:rPr kumimoji="1" lang="ja-JP" altLang="en-US" sz="1100">
              <a:solidFill>
                <a:schemeClr val="accent1"/>
              </a:solidFill>
            </a:rPr>
            <a:t>を選択してください。</a:t>
          </a:r>
        </a:p>
      </xdr:txBody>
    </xdr:sp>
    <xdr:clientData/>
  </xdr:twoCellAnchor>
  <xdr:twoCellAnchor>
    <xdr:from>
      <xdr:col>15</xdr:col>
      <xdr:colOff>470647</xdr:colOff>
      <xdr:row>0</xdr:row>
      <xdr:rowOff>0</xdr:rowOff>
    </xdr:from>
    <xdr:to>
      <xdr:col>17</xdr:col>
      <xdr:colOff>5647</xdr:colOff>
      <xdr:row>2</xdr:row>
      <xdr:rowOff>151853</xdr:rowOff>
    </xdr:to>
    <xdr:sp macro="" textlink="">
      <xdr:nvSpPr>
        <xdr:cNvPr id="17" name="正方形/長方形 7">
          <a:extLst>
            <a:ext uri="{FF2B5EF4-FFF2-40B4-BE49-F238E27FC236}">
              <a16:creationId xmlns:a16="http://schemas.microsoft.com/office/drawing/2014/main" id="{A41E70C3-CECE-4EDA-A034-4DBBFD1AEB06}"/>
            </a:ext>
          </a:extLst>
        </xdr:cNvPr>
        <xdr:cNvSpPr/>
      </xdr:nvSpPr>
      <xdr:spPr>
        <a:xfrm flipH="1">
          <a:off x="20774772" y="0"/>
          <a:ext cx="1922600" cy="428078"/>
        </a:xfrm>
        <a:prstGeom prst="rect">
          <a:avLst/>
        </a:prstGeom>
        <a:solidFill>
          <a:srgbClr val="002060"/>
        </a:solidFill>
        <a:ln w="9525" cap="rnd"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0" rIns="72000" bIns="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marL="0" indent="0" algn="ctr" defTabSz="742950" rtl="0" eaLnBrk="1" latinLnBrk="0" hangingPunct="1"/>
          <a:r>
            <a:rPr kumimoji="1" lang="en-US" altLang="ja-JP" sz="1800" kern="1200">
              <a:solidFill>
                <a:schemeClr val="bg1"/>
              </a:solidFill>
              <a:latin typeface="Meiryo UI" panose="020B0604030504040204" pitchFamily="50" charset="-128"/>
              <a:ea typeface="Meiryo UI" panose="020B0604030504040204" pitchFamily="50" charset="-128"/>
              <a:cs typeface="+mn-cs"/>
            </a:rPr>
            <a:t>3</a:t>
          </a:r>
          <a:r>
            <a:rPr kumimoji="1" lang="ja-JP" altLang="en-US" sz="1800" kern="1200">
              <a:solidFill>
                <a:schemeClr val="bg1"/>
              </a:solidFill>
              <a:latin typeface="Meiryo UI" panose="020B0604030504040204" pitchFamily="50" charset="-128"/>
              <a:ea typeface="Meiryo UI" panose="020B0604030504040204" pitchFamily="50" charset="-128"/>
              <a:cs typeface="+mn-cs"/>
            </a:rPr>
            <a:t>次公募用</a:t>
          </a:r>
          <a:endParaRPr kumimoji="1" lang="en-US" altLang="ja-JP" sz="1800" kern="1200">
            <a:solidFill>
              <a:schemeClr val="bg1"/>
            </a:solidFill>
            <a:latin typeface="Meiryo UI" panose="020B0604030504040204" pitchFamily="50" charset="-128"/>
            <a:ea typeface="Meiryo UI" panose="020B0604030504040204" pitchFamily="50" charset="-128"/>
            <a:cs typeface="+mn-cs"/>
          </a:endParaRPr>
        </a:p>
      </xdr:txBody>
    </xdr:sp>
    <xdr:clientData/>
  </xdr:twoCellAnchor>
  <xdr:twoCellAnchor>
    <xdr:from>
      <xdr:col>5</xdr:col>
      <xdr:colOff>1647265</xdr:colOff>
      <xdr:row>1052</xdr:row>
      <xdr:rowOff>11206</xdr:rowOff>
    </xdr:from>
    <xdr:to>
      <xdr:col>5</xdr:col>
      <xdr:colOff>2367265</xdr:colOff>
      <xdr:row>1052</xdr:row>
      <xdr:rowOff>225243</xdr:rowOff>
    </xdr:to>
    <xdr:sp macro="" textlink="">
      <xdr:nvSpPr>
        <xdr:cNvPr id="18" name="テキスト ボックス 17">
          <a:extLst>
            <a:ext uri="{FF2B5EF4-FFF2-40B4-BE49-F238E27FC236}">
              <a16:creationId xmlns:a16="http://schemas.microsoft.com/office/drawing/2014/main" id="{7C3C99C6-2B0D-4B32-B391-150827EFF377}"/>
            </a:ext>
          </a:extLst>
        </xdr:cNvPr>
        <xdr:cNvSpPr txBox="1"/>
      </xdr:nvSpPr>
      <xdr:spPr>
        <a:xfrm>
          <a:off x="8851340" y="135529731"/>
          <a:ext cx="72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0">
              <a:solidFill>
                <a:sysClr val="windowText" lastClr="000000"/>
              </a:solidFill>
            </a:rPr>
            <a:t>該当年度：</a:t>
          </a:r>
        </a:p>
      </xdr:txBody>
    </xdr:sp>
    <xdr:clientData/>
  </xdr:twoCellAnchor>
  <xdr:twoCellAnchor>
    <xdr:from>
      <xdr:col>5</xdr:col>
      <xdr:colOff>1647265</xdr:colOff>
      <xdr:row>1054</xdr:row>
      <xdr:rowOff>15689</xdr:rowOff>
    </xdr:from>
    <xdr:to>
      <xdr:col>5</xdr:col>
      <xdr:colOff>2367265</xdr:colOff>
      <xdr:row>1054</xdr:row>
      <xdr:rowOff>232527</xdr:rowOff>
    </xdr:to>
    <xdr:sp macro="" textlink="">
      <xdr:nvSpPr>
        <xdr:cNvPr id="19" name="テキスト ボックス 18">
          <a:extLst>
            <a:ext uri="{FF2B5EF4-FFF2-40B4-BE49-F238E27FC236}">
              <a16:creationId xmlns:a16="http://schemas.microsoft.com/office/drawing/2014/main" id="{1FC854EE-B0C6-42E7-ACE1-5B6E26704430}"/>
            </a:ext>
          </a:extLst>
        </xdr:cNvPr>
        <xdr:cNvSpPr txBox="1"/>
      </xdr:nvSpPr>
      <xdr:spPr>
        <a:xfrm>
          <a:off x="8851340" y="135991414"/>
          <a:ext cx="720000" cy="213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0">
              <a:solidFill>
                <a:sysClr val="windowText" lastClr="000000"/>
              </a:solidFill>
            </a:rPr>
            <a:t>該当年度：</a:t>
          </a:r>
        </a:p>
      </xdr:txBody>
    </xdr:sp>
    <xdr:clientData/>
  </xdr:twoCellAnchor>
  <xdr:twoCellAnchor>
    <xdr:from>
      <xdr:col>5</xdr:col>
      <xdr:colOff>1647265</xdr:colOff>
      <xdr:row>1056</xdr:row>
      <xdr:rowOff>15689</xdr:rowOff>
    </xdr:from>
    <xdr:to>
      <xdr:col>5</xdr:col>
      <xdr:colOff>2367265</xdr:colOff>
      <xdr:row>1056</xdr:row>
      <xdr:rowOff>232527</xdr:rowOff>
    </xdr:to>
    <xdr:sp macro="" textlink="">
      <xdr:nvSpPr>
        <xdr:cNvPr id="20" name="テキスト ボックス 19">
          <a:extLst>
            <a:ext uri="{FF2B5EF4-FFF2-40B4-BE49-F238E27FC236}">
              <a16:creationId xmlns:a16="http://schemas.microsoft.com/office/drawing/2014/main" id="{D0DBFF26-3F3E-4A73-ABAA-62468432D7FF}"/>
            </a:ext>
          </a:extLst>
        </xdr:cNvPr>
        <xdr:cNvSpPr txBox="1"/>
      </xdr:nvSpPr>
      <xdr:spPr>
        <a:xfrm>
          <a:off x="8851340" y="136448614"/>
          <a:ext cx="720000" cy="213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0">
              <a:solidFill>
                <a:sysClr val="windowText" lastClr="000000"/>
              </a:solidFill>
            </a:rPr>
            <a:t>該当年度：</a:t>
          </a:r>
        </a:p>
      </xdr:txBody>
    </xdr:sp>
    <xdr:clientData/>
  </xdr:twoCellAnchor>
  <xdr:twoCellAnchor>
    <xdr:from>
      <xdr:col>5</xdr:col>
      <xdr:colOff>1647265</xdr:colOff>
      <xdr:row>1058</xdr:row>
      <xdr:rowOff>15689</xdr:rowOff>
    </xdr:from>
    <xdr:to>
      <xdr:col>5</xdr:col>
      <xdr:colOff>2367265</xdr:colOff>
      <xdr:row>1058</xdr:row>
      <xdr:rowOff>232527</xdr:rowOff>
    </xdr:to>
    <xdr:sp macro="" textlink="">
      <xdr:nvSpPr>
        <xdr:cNvPr id="21" name="テキスト ボックス 20">
          <a:extLst>
            <a:ext uri="{FF2B5EF4-FFF2-40B4-BE49-F238E27FC236}">
              <a16:creationId xmlns:a16="http://schemas.microsoft.com/office/drawing/2014/main" id="{5E036E78-F729-40A3-B819-0ACFFE84D7D0}"/>
            </a:ext>
          </a:extLst>
        </xdr:cNvPr>
        <xdr:cNvSpPr txBox="1"/>
      </xdr:nvSpPr>
      <xdr:spPr>
        <a:xfrm>
          <a:off x="8851340" y="136905814"/>
          <a:ext cx="720000" cy="213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0">
              <a:solidFill>
                <a:sysClr val="windowText" lastClr="000000"/>
              </a:solidFill>
            </a:rPr>
            <a:t>該当年度：</a:t>
          </a:r>
        </a:p>
      </xdr:txBody>
    </xdr:sp>
    <xdr:clientData/>
  </xdr:twoCellAnchor>
  <xdr:twoCellAnchor>
    <xdr:from>
      <xdr:col>4</xdr:col>
      <xdr:colOff>103910</xdr:colOff>
      <xdr:row>6</xdr:row>
      <xdr:rowOff>189055</xdr:rowOff>
    </xdr:from>
    <xdr:to>
      <xdr:col>4</xdr:col>
      <xdr:colOff>3876199</xdr:colOff>
      <xdr:row>8</xdr:row>
      <xdr:rowOff>15053</xdr:rowOff>
    </xdr:to>
    <xdr:sp macro="" textlink="">
      <xdr:nvSpPr>
        <xdr:cNvPr id="22" name="四角形: 角を丸くする 21">
          <a:extLst>
            <a:ext uri="{FF2B5EF4-FFF2-40B4-BE49-F238E27FC236}">
              <a16:creationId xmlns:a16="http://schemas.microsoft.com/office/drawing/2014/main" id="{DB5D5539-93BA-4932-8447-6E1A8DFBCBC0}"/>
            </a:ext>
            <a:ext uri="{147F2762-F138-4A5C-976F-8EAC2B608ADB}">
              <a16:predDERef xmlns:a16="http://schemas.microsoft.com/office/drawing/2014/main" pred="{5E036E78-F729-40A3-B819-0ACFFE84D7D0}"/>
            </a:ext>
          </a:extLst>
        </xdr:cNvPr>
        <xdr:cNvSpPr/>
      </xdr:nvSpPr>
      <xdr:spPr>
        <a:xfrm>
          <a:off x="1513610" y="1379680"/>
          <a:ext cx="3772289" cy="226048"/>
        </a:xfrm>
        <a:prstGeom prst="roundRect">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①申請者情報シートで入力した内容が反映されます。</a:t>
          </a:r>
          <a:endParaRPr kumimoji="1" lang="en-US" altLang="ja-JP" sz="1200">
            <a:solidFill>
              <a:sysClr val="windowText" lastClr="000000"/>
            </a:solidFill>
            <a:latin typeface="+mn-ea"/>
            <a:ea typeface="+mn-ea"/>
          </a:endParaRPr>
        </a:p>
      </xdr:txBody>
    </xdr:sp>
    <xdr:clientData/>
  </xdr:twoCellAnchor>
  <xdr:twoCellAnchor>
    <xdr:from>
      <xdr:col>4</xdr:col>
      <xdr:colOff>1396498</xdr:colOff>
      <xdr:row>13</xdr:row>
      <xdr:rowOff>74235</xdr:rowOff>
    </xdr:from>
    <xdr:to>
      <xdr:col>4</xdr:col>
      <xdr:colOff>4639673</xdr:colOff>
      <xdr:row>14</xdr:row>
      <xdr:rowOff>182254</xdr:rowOff>
    </xdr:to>
    <xdr:sp macro="" textlink="">
      <xdr:nvSpPr>
        <xdr:cNvPr id="23" name="吹き出し: 角を丸めた四角形 22">
          <a:extLst>
            <a:ext uri="{FF2B5EF4-FFF2-40B4-BE49-F238E27FC236}">
              <a16:creationId xmlns:a16="http://schemas.microsoft.com/office/drawing/2014/main" id="{12FF6D21-4005-454E-BBB0-976B53DD8837}"/>
            </a:ext>
          </a:extLst>
        </xdr:cNvPr>
        <xdr:cNvSpPr/>
      </xdr:nvSpPr>
      <xdr:spPr>
        <a:xfrm>
          <a:off x="2833907" y="2810508"/>
          <a:ext cx="3243175" cy="367791"/>
        </a:xfrm>
        <a:prstGeom prst="wedgeRoundRectCallout">
          <a:avLst>
            <a:gd name="adj1" fmla="val -56457"/>
            <a:gd name="adj2" fmla="val -1531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1~5</a:t>
          </a:r>
          <a:r>
            <a:rPr kumimoji="1" lang="ja-JP" altLang="en-US" sz="1200">
              <a:solidFill>
                <a:sysClr val="windowText" lastClr="000000"/>
              </a:solidFill>
              <a:latin typeface="+mn-ea"/>
              <a:ea typeface="+mn-ea"/>
            </a:rPr>
            <a:t>項は会社全体について入力してください。</a:t>
          </a:r>
          <a:endParaRPr kumimoji="1" lang="en-US" altLang="ja-JP" sz="1200">
            <a:solidFill>
              <a:sysClr val="windowText" lastClr="000000"/>
            </a:solidFill>
            <a:latin typeface="+mn-ea"/>
            <a:ea typeface="+mn-ea"/>
          </a:endParaRPr>
        </a:p>
      </xdr:txBody>
    </xdr:sp>
    <xdr:clientData/>
  </xdr:twoCellAnchor>
  <xdr:twoCellAnchor>
    <xdr:from>
      <xdr:col>4</xdr:col>
      <xdr:colOff>5179053</xdr:colOff>
      <xdr:row>0</xdr:row>
      <xdr:rowOff>56201</xdr:rowOff>
    </xdr:from>
    <xdr:to>
      <xdr:col>8</xdr:col>
      <xdr:colOff>323849</xdr:colOff>
      <xdr:row>4</xdr:row>
      <xdr:rowOff>180068</xdr:rowOff>
    </xdr:to>
    <xdr:sp macro="" textlink="">
      <xdr:nvSpPr>
        <xdr:cNvPr id="102" name="吹き出し: 角を丸めた四角形 23">
          <a:extLst>
            <a:ext uri="{FF2B5EF4-FFF2-40B4-BE49-F238E27FC236}">
              <a16:creationId xmlns:a16="http://schemas.microsoft.com/office/drawing/2014/main" id="{AB5E4D2B-2D07-4487-B42A-0AEC55C0CE86}"/>
            </a:ext>
          </a:extLst>
        </xdr:cNvPr>
        <xdr:cNvSpPr/>
      </xdr:nvSpPr>
      <xdr:spPr>
        <a:xfrm>
          <a:off x="6616462" y="56201"/>
          <a:ext cx="5708887" cy="903185"/>
        </a:xfrm>
        <a:prstGeom prst="wedgeRoundRectCallout">
          <a:avLst>
            <a:gd name="adj1" fmla="val -55390"/>
            <a:gd name="adj2" fmla="val 4844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入力内容が要件を満たすとワーニングメッセージが消えます。</a:t>
          </a:r>
          <a:endParaRPr kumimoji="1" lang="en-US" altLang="ja-JP" sz="1200">
            <a:solidFill>
              <a:sysClr val="windowText" lastClr="000000"/>
            </a:solidFill>
            <a:latin typeface="+mn-ea"/>
            <a:ea typeface="+mn-ea"/>
          </a:endParaRPr>
        </a:p>
        <a:p>
          <a:pPr algn="l"/>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補助事業の従業員や役員数がゼロの場合、ワーニングメッセージが出続けます（</a:t>
          </a:r>
          <a:r>
            <a:rPr kumimoji="1" lang="en-US" altLang="ja-JP" sz="1200" b="1">
              <a:solidFill>
                <a:sysClr val="windowText" lastClr="000000"/>
              </a:solidFill>
              <a:latin typeface="+mn-ea"/>
              <a:ea typeface="+mn-ea"/>
            </a:rPr>
            <a:t>G1009</a:t>
          </a:r>
          <a:r>
            <a:rPr kumimoji="1" lang="ja-JP" altLang="en-US" sz="1200" b="1">
              <a:solidFill>
                <a:sysClr val="windowText" lastClr="000000"/>
              </a:solidFill>
              <a:latin typeface="+mn-ea"/>
              <a:ea typeface="+mn-ea"/>
            </a:rPr>
            <a:t>、</a:t>
          </a:r>
          <a:r>
            <a:rPr kumimoji="1" lang="en-US" altLang="ja-JP" sz="1200" b="1">
              <a:solidFill>
                <a:sysClr val="windowText" lastClr="000000"/>
              </a:solidFill>
              <a:latin typeface="+mn-ea"/>
              <a:ea typeface="+mn-ea"/>
            </a:rPr>
            <a:t>G1019</a:t>
          </a:r>
          <a:r>
            <a:rPr kumimoji="1" lang="ja-JP" altLang="en-US" sz="1200" b="1">
              <a:solidFill>
                <a:sysClr val="windowText" lastClr="000000"/>
              </a:solidFill>
              <a:latin typeface="+mn-ea"/>
              <a:ea typeface="+mn-ea"/>
            </a:rPr>
            <a:t>が非該当となる）が、そのままで提出いただくことが可能です。</a:t>
          </a:r>
        </a:p>
      </xdr:txBody>
    </xdr:sp>
    <xdr:clientData/>
  </xdr:twoCellAnchor>
  <xdr:twoCellAnchor>
    <xdr:from>
      <xdr:col>4</xdr:col>
      <xdr:colOff>5667403</xdr:colOff>
      <xdr:row>6</xdr:row>
      <xdr:rowOff>152236</xdr:rowOff>
    </xdr:from>
    <xdr:to>
      <xdr:col>5</xdr:col>
      <xdr:colOff>1655071</xdr:colOff>
      <xdr:row>8</xdr:row>
      <xdr:rowOff>154332</xdr:rowOff>
    </xdr:to>
    <xdr:sp macro="" textlink="">
      <xdr:nvSpPr>
        <xdr:cNvPr id="25" name="吹き出し: 角を丸めた四角形 24">
          <a:extLst>
            <a:ext uri="{FF2B5EF4-FFF2-40B4-BE49-F238E27FC236}">
              <a16:creationId xmlns:a16="http://schemas.microsoft.com/office/drawing/2014/main" id="{587BEB26-C3D7-486A-A1D9-C84B68E71CF8}"/>
            </a:ext>
          </a:extLst>
        </xdr:cNvPr>
        <xdr:cNvSpPr/>
      </xdr:nvSpPr>
      <xdr:spPr>
        <a:xfrm>
          <a:off x="7104812" y="1381827"/>
          <a:ext cx="1771941" cy="417732"/>
        </a:xfrm>
        <a:prstGeom prst="wedgeRoundRectCallout">
          <a:avLst>
            <a:gd name="adj1" fmla="val -32101"/>
            <a:gd name="adj2" fmla="val 75463"/>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入力に応じて、期間情報が設定されます。</a:t>
          </a:r>
          <a:endParaRPr kumimoji="1" lang="en-US" altLang="ja-JP" sz="1200">
            <a:solidFill>
              <a:sysClr val="windowText" lastClr="000000"/>
            </a:solidFill>
            <a:latin typeface="+mn-ea"/>
            <a:ea typeface="+mn-ea"/>
          </a:endParaRPr>
        </a:p>
      </xdr:txBody>
    </xdr:sp>
    <xdr:clientData/>
  </xdr:twoCellAnchor>
  <xdr:twoCellAnchor>
    <xdr:from>
      <xdr:col>4</xdr:col>
      <xdr:colOff>161391</xdr:colOff>
      <xdr:row>11</xdr:row>
      <xdr:rowOff>26015</xdr:rowOff>
    </xdr:from>
    <xdr:to>
      <xdr:col>4</xdr:col>
      <xdr:colOff>4513141</xdr:colOff>
      <xdr:row>11</xdr:row>
      <xdr:rowOff>192256</xdr:rowOff>
    </xdr:to>
    <xdr:sp macro="" textlink="">
      <xdr:nvSpPr>
        <xdr:cNvPr id="26" name="四角形: 角を丸くする 25">
          <a:extLst>
            <a:ext uri="{FF2B5EF4-FFF2-40B4-BE49-F238E27FC236}">
              <a16:creationId xmlns:a16="http://schemas.microsoft.com/office/drawing/2014/main" id="{314132BD-71B1-46B9-B31A-E39E46A74FD3}"/>
            </a:ext>
          </a:extLst>
        </xdr:cNvPr>
        <xdr:cNvSpPr/>
      </xdr:nvSpPr>
      <xdr:spPr>
        <a:xfrm>
          <a:off x="1598800" y="2312015"/>
          <a:ext cx="4351750" cy="166241"/>
        </a:xfrm>
        <a:prstGeom prst="roundRect">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最新決算期末日を入力すると、選択肢がリストされます。</a:t>
          </a:r>
        </a:p>
      </xdr:txBody>
    </xdr:sp>
    <xdr:clientData/>
  </xdr:twoCellAnchor>
  <xdr:twoCellAnchor>
    <xdr:from>
      <xdr:col>4</xdr:col>
      <xdr:colOff>824768</xdr:colOff>
      <xdr:row>8</xdr:row>
      <xdr:rowOff>61935</xdr:rowOff>
    </xdr:from>
    <xdr:to>
      <xdr:col>4</xdr:col>
      <xdr:colOff>4731141</xdr:colOff>
      <xdr:row>10</xdr:row>
      <xdr:rowOff>117988</xdr:rowOff>
    </xdr:to>
    <xdr:sp macro="" textlink="">
      <xdr:nvSpPr>
        <xdr:cNvPr id="27" name="吹き出し: 角を丸めた四角形 26">
          <a:extLst>
            <a:ext uri="{FF2B5EF4-FFF2-40B4-BE49-F238E27FC236}">
              <a16:creationId xmlns:a16="http://schemas.microsoft.com/office/drawing/2014/main" id="{AB08B67C-81C2-48A8-BFF0-55CD8812F59D}"/>
            </a:ext>
          </a:extLst>
        </xdr:cNvPr>
        <xdr:cNvSpPr/>
      </xdr:nvSpPr>
      <xdr:spPr>
        <a:xfrm>
          <a:off x="2262177" y="1707162"/>
          <a:ext cx="3906373" cy="471690"/>
        </a:xfrm>
        <a:prstGeom prst="wedgeRoundRectCallout">
          <a:avLst>
            <a:gd name="adj1" fmla="val -59879"/>
            <a:gd name="adj2" fmla="val 167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コンソーシアムの場合、本シートで入力した補助事業完了日がすべての事業者のシートにも反映されます。</a:t>
          </a:r>
          <a:endParaRPr kumimoji="1" lang="en-US" altLang="ja-JP" sz="1200">
            <a:solidFill>
              <a:sysClr val="windowText" lastClr="000000"/>
            </a:solidFill>
            <a:latin typeface="+mn-ea"/>
            <a:ea typeface="+mn-ea"/>
          </a:endParaRPr>
        </a:p>
      </xdr:txBody>
    </xdr:sp>
    <xdr:clientData/>
  </xdr:twoCellAnchor>
  <xdr:twoCellAnchor>
    <xdr:from>
      <xdr:col>5</xdr:col>
      <xdr:colOff>2325743</xdr:colOff>
      <xdr:row>10</xdr:row>
      <xdr:rowOff>179497</xdr:rowOff>
    </xdr:from>
    <xdr:to>
      <xdr:col>17</xdr:col>
      <xdr:colOff>121227</xdr:colOff>
      <xdr:row>13</xdr:row>
      <xdr:rowOff>29883</xdr:rowOff>
    </xdr:to>
    <xdr:sp macro="" textlink="">
      <xdr:nvSpPr>
        <xdr:cNvPr id="28" name="四角形: 角を丸くする 27">
          <a:extLst>
            <a:ext uri="{FF2B5EF4-FFF2-40B4-BE49-F238E27FC236}">
              <a16:creationId xmlns:a16="http://schemas.microsoft.com/office/drawing/2014/main" id="{112B86AB-47FA-48AA-82CE-6CC36B381C71}"/>
            </a:ext>
          </a:extLst>
        </xdr:cNvPr>
        <xdr:cNvSpPr/>
      </xdr:nvSpPr>
      <xdr:spPr>
        <a:xfrm>
          <a:off x="9547425" y="2240361"/>
          <a:ext cx="13329893" cy="525795"/>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4</xdr:col>
      <xdr:colOff>5685560</xdr:colOff>
      <xdr:row>11</xdr:row>
      <xdr:rowOff>66138</xdr:rowOff>
    </xdr:from>
    <xdr:to>
      <xdr:col>5</xdr:col>
      <xdr:colOff>2325743</xdr:colOff>
      <xdr:row>11</xdr:row>
      <xdr:rowOff>217259</xdr:rowOff>
    </xdr:to>
    <xdr:cxnSp macro="">
      <xdr:nvCxnSpPr>
        <xdr:cNvPr id="29" name="直線矢印コネクタ 28">
          <a:extLst>
            <a:ext uri="{FF2B5EF4-FFF2-40B4-BE49-F238E27FC236}">
              <a16:creationId xmlns:a16="http://schemas.microsoft.com/office/drawing/2014/main" id="{DD12013D-5740-4276-8198-040AF302EF97}"/>
            </a:ext>
          </a:extLst>
        </xdr:cNvPr>
        <xdr:cNvCxnSpPr>
          <a:endCxn id="28" idx="1"/>
        </xdr:cNvCxnSpPr>
      </xdr:nvCxnSpPr>
      <xdr:spPr>
        <a:xfrm>
          <a:off x="7122969" y="2352138"/>
          <a:ext cx="2424456" cy="151121"/>
        </a:xfrm>
        <a:prstGeom prst="straightConnector1">
          <a:avLst/>
        </a:prstGeom>
        <a:ln w="28575">
          <a:solidFill>
            <a:srgbClr val="E26100"/>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13813</xdr:colOff>
      <xdr:row>7</xdr:row>
      <xdr:rowOff>119167</xdr:rowOff>
    </xdr:from>
    <xdr:to>
      <xdr:col>7</xdr:col>
      <xdr:colOff>663930</xdr:colOff>
      <xdr:row>9</xdr:row>
      <xdr:rowOff>3275</xdr:rowOff>
    </xdr:to>
    <xdr:sp macro="" textlink="">
      <xdr:nvSpPr>
        <xdr:cNvPr id="30" name="吹き出し: 角を丸めた四角形 29">
          <a:extLst>
            <a:ext uri="{FF2B5EF4-FFF2-40B4-BE49-F238E27FC236}">
              <a16:creationId xmlns:a16="http://schemas.microsoft.com/office/drawing/2014/main" id="{538DC6E7-268C-4F58-AEDC-456E58303EE5}"/>
            </a:ext>
          </a:extLst>
        </xdr:cNvPr>
        <xdr:cNvSpPr/>
      </xdr:nvSpPr>
      <xdr:spPr>
        <a:xfrm>
          <a:off x="10820358" y="1556576"/>
          <a:ext cx="650117" cy="299744"/>
        </a:xfrm>
        <a:prstGeom prst="wedgeRoundRectCallout">
          <a:avLst>
            <a:gd name="adj1" fmla="val -64500"/>
            <a:gd name="adj2" fmla="val 3037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注意</a:t>
          </a:r>
          <a:endParaRPr kumimoji="1" lang="en-US" altLang="ja-JP" sz="1200" b="1">
            <a:solidFill>
              <a:sysClr val="windowText" lastClr="000000"/>
            </a:solidFill>
            <a:latin typeface="+mn-ea"/>
            <a:ea typeface="+mn-ea"/>
          </a:endParaRPr>
        </a:p>
      </xdr:txBody>
    </xdr:sp>
    <xdr:clientData/>
  </xdr:twoCellAnchor>
  <xdr:twoCellAnchor>
    <xdr:from>
      <xdr:col>6</xdr:col>
      <xdr:colOff>48202</xdr:colOff>
      <xdr:row>8</xdr:row>
      <xdr:rowOff>172604</xdr:rowOff>
    </xdr:from>
    <xdr:to>
      <xdr:col>7</xdr:col>
      <xdr:colOff>149150</xdr:colOff>
      <xdr:row>9</xdr:row>
      <xdr:rowOff>146160</xdr:rowOff>
    </xdr:to>
    <xdr:sp macro="" textlink="">
      <xdr:nvSpPr>
        <xdr:cNvPr id="31" name="四角形: 角を丸くする 30">
          <a:extLst>
            <a:ext uri="{FF2B5EF4-FFF2-40B4-BE49-F238E27FC236}">
              <a16:creationId xmlns:a16="http://schemas.microsoft.com/office/drawing/2014/main" id="{9D9BC857-EFFB-48D5-9594-FC0AD3C86837}"/>
            </a:ext>
          </a:extLst>
        </xdr:cNvPr>
        <xdr:cNvSpPr/>
      </xdr:nvSpPr>
      <xdr:spPr>
        <a:xfrm>
          <a:off x="9659793" y="1817831"/>
          <a:ext cx="1295902" cy="181374"/>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17</xdr:col>
      <xdr:colOff>711732</xdr:colOff>
      <xdr:row>13</xdr:row>
      <xdr:rowOff>76391</xdr:rowOff>
    </xdr:from>
    <xdr:to>
      <xdr:col>24</xdr:col>
      <xdr:colOff>350740</xdr:colOff>
      <xdr:row>26</xdr:row>
      <xdr:rowOff>203718</xdr:rowOff>
    </xdr:to>
    <xdr:sp macro="" textlink="">
      <xdr:nvSpPr>
        <xdr:cNvPr id="32" name="吹き出し: 角を丸めた四角形 31">
          <a:extLst>
            <a:ext uri="{FF2B5EF4-FFF2-40B4-BE49-F238E27FC236}">
              <a16:creationId xmlns:a16="http://schemas.microsoft.com/office/drawing/2014/main" id="{38EBE6EE-64F4-4E51-A16E-C7E488930578}"/>
            </a:ext>
          </a:extLst>
        </xdr:cNvPr>
        <xdr:cNvSpPr/>
      </xdr:nvSpPr>
      <xdr:spPr>
        <a:xfrm>
          <a:off x="23467823" y="2812664"/>
          <a:ext cx="5856235" cy="4474190"/>
        </a:xfrm>
        <a:prstGeom prst="wedgeRoundRectCallout">
          <a:avLst>
            <a:gd name="adj1" fmla="val -59462"/>
            <a:gd name="adj2" fmla="val -5240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前々決算期までの間で決算月を変更した場合、以下の例（昨年、</a:t>
          </a:r>
          <a:r>
            <a:rPr kumimoji="1" lang="en-US" altLang="ja-JP" sz="1200">
              <a:solidFill>
                <a:sysClr val="windowText" lastClr="000000"/>
              </a:solidFill>
              <a:latin typeface="+mn-ea"/>
              <a:ea typeface="+mn-ea"/>
            </a:rPr>
            <a:t>3</a:t>
          </a:r>
          <a:r>
            <a:rPr kumimoji="1" lang="ja-JP" altLang="en-US" sz="1200">
              <a:solidFill>
                <a:sysClr val="windowText" lastClr="000000"/>
              </a:solidFill>
              <a:latin typeface="+mn-ea"/>
              <a:ea typeface="+mn-ea"/>
            </a:rPr>
            <a:t>月決算から</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月決算に変更した申請者の例）を参考に記入をお願いします。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・最新の決算月が過去３年間続いたものとして入力</a:t>
          </a:r>
          <a:br>
            <a:rPr kumimoji="1" lang="en-US" altLang="ja-JP" sz="1200">
              <a:solidFill>
                <a:sysClr val="windowText" lastClr="000000"/>
              </a:solidFill>
              <a:latin typeface="+mn-ea"/>
              <a:ea typeface="+mn-ea"/>
            </a:rPr>
          </a:br>
          <a:r>
            <a:rPr kumimoji="1" lang="ja-JP" altLang="en-US" sz="1200">
              <a:solidFill>
                <a:sysClr val="windowText" lastClr="000000"/>
              </a:solidFill>
              <a:latin typeface="+mn-ea"/>
              <a:ea typeface="+mn-ea"/>
            </a:rPr>
            <a:t>　最新決算期：</a:t>
          </a:r>
          <a:r>
            <a:rPr kumimoji="1" lang="en-US" altLang="ja-JP" sz="1200">
              <a:solidFill>
                <a:sysClr val="windowText" lastClr="000000"/>
              </a:solidFill>
              <a:latin typeface="+mn-ea"/>
              <a:ea typeface="+mn-ea"/>
            </a:rPr>
            <a:t>23/1 - 23/12</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カ月）</a:t>
          </a:r>
        </a:p>
        <a:p>
          <a:pPr algn="l"/>
          <a:r>
            <a:rPr kumimoji="1" lang="ja-JP" altLang="en-US" sz="1200">
              <a:solidFill>
                <a:sysClr val="windowText" lastClr="000000"/>
              </a:solidFill>
              <a:latin typeface="+mn-ea"/>
              <a:ea typeface="+mn-ea"/>
            </a:rPr>
            <a:t>　前決算期　：</a:t>
          </a:r>
          <a:r>
            <a:rPr kumimoji="1" lang="en-US" altLang="ja-JP" sz="1200">
              <a:solidFill>
                <a:sysClr val="windowText" lastClr="000000"/>
              </a:solidFill>
              <a:latin typeface="+mn-ea"/>
              <a:ea typeface="+mn-ea"/>
            </a:rPr>
            <a:t>22/1 - 22/12</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カ月）</a:t>
          </a:r>
        </a:p>
        <a:p>
          <a:pPr algn="l"/>
          <a:r>
            <a:rPr kumimoji="1" lang="ja-JP" altLang="en-US" sz="1200">
              <a:solidFill>
                <a:sysClr val="windowText" lastClr="000000"/>
              </a:solidFill>
              <a:latin typeface="+mn-ea"/>
              <a:ea typeface="+mn-ea"/>
            </a:rPr>
            <a:t>　前々決算期：</a:t>
          </a:r>
          <a:r>
            <a:rPr kumimoji="1" lang="en-US" altLang="ja-JP" sz="1200">
              <a:solidFill>
                <a:sysClr val="windowText" lastClr="000000"/>
              </a:solidFill>
              <a:latin typeface="+mn-ea"/>
              <a:ea typeface="+mn-ea"/>
            </a:rPr>
            <a:t>21/1 - 21/12</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カ月）</a:t>
          </a:r>
        </a:p>
        <a:p>
          <a:pPr algn="l"/>
          <a:r>
            <a:rPr kumimoji="1" lang="ja-JP" altLang="en-US" sz="1200">
              <a:solidFill>
                <a:sysClr val="windowText" lastClr="000000"/>
              </a:solidFill>
              <a:latin typeface="+mn-ea"/>
              <a:ea typeface="+mn-ea"/>
            </a:rPr>
            <a:t>・期間が</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カ月に満たない決算期については、</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カ月分になるように補正</a:t>
          </a:r>
          <a:br>
            <a:rPr kumimoji="1" lang="en-US" altLang="ja-JP" sz="1200">
              <a:solidFill>
                <a:sysClr val="windowText" lastClr="000000"/>
              </a:solidFill>
              <a:latin typeface="+mn-ea"/>
              <a:ea typeface="+mn-ea"/>
            </a:rPr>
          </a:br>
          <a:r>
            <a:rPr kumimoji="1" lang="ja-JP" altLang="en-US" sz="1200">
              <a:solidFill>
                <a:sysClr val="windowText" lastClr="000000"/>
              </a:solidFill>
              <a:latin typeface="+mn-ea"/>
              <a:ea typeface="+mn-ea"/>
            </a:rPr>
            <a:t>　例のケースでは以下のとおり最新決算期が</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カ月に満たない。この問題点を解消するために、最新決算期の数値を１年分に補正（</a:t>
          </a:r>
          <a:r>
            <a:rPr kumimoji="1" lang="en-US" altLang="ja-JP" sz="1200">
              <a:solidFill>
                <a:sysClr val="windowText" lastClr="000000"/>
              </a:solidFill>
              <a:latin typeface="+mn-ea"/>
              <a:ea typeface="+mn-ea"/>
            </a:rPr>
            <a:t>12/9</a:t>
          </a:r>
          <a:r>
            <a:rPr kumimoji="1" lang="ja-JP" altLang="en-US" sz="1200">
              <a:solidFill>
                <a:sysClr val="windowText" lastClr="000000"/>
              </a:solidFill>
              <a:latin typeface="+mn-ea"/>
              <a:ea typeface="+mn-ea"/>
            </a:rPr>
            <a:t>をかける）して記入</a:t>
          </a:r>
        </a:p>
        <a:p>
          <a:pPr algn="l"/>
          <a:r>
            <a:rPr kumimoji="1" lang="ja-JP" altLang="en-US" sz="1200">
              <a:solidFill>
                <a:sysClr val="windowText" lastClr="000000"/>
              </a:solidFill>
              <a:latin typeface="+mn-ea"/>
              <a:ea typeface="+mn-ea"/>
            </a:rPr>
            <a:t>　最新決算期：</a:t>
          </a:r>
          <a:r>
            <a:rPr kumimoji="1" lang="en-US" altLang="ja-JP" sz="1200">
              <a:solidFill>
                <a:sysClr val="windowText" lastClr="000000"/>
              </a:solidFill>
              <a:latin typeface="+mn-ea"/>
              <a:ea typeface="+mn-ea"/>
            </a:rPr>
            <a:t>23/4 - 23/12</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9</a:t>
          </a:r>
          <a:r>
            <a:rPr kumimoji="1" lang="ja-JP" altLang="en-US" sz="1200">
              <a:solidFill>
                <a:sysClr val="windowText" lastClr="000000"/>
              </a:solidFill>
              <a:latin typeface="+mn-ea"/>
              <a:ea typeface="+mn-ea"/>
            </a:rPr>
            <a:t>カ月）</a:t>
          </a:r>
        </a:p>
        <a:p>
          <a:pPr algn="l"/>
          <a:r>
            <a:rPr kumimoji="1" lang="ja-JP" altLang="en-US" sz="1200">
              <a:solidFill>
                <a:sysClr val="windowText" lastClr="000000"/>
              </a:solidFill>
              <a:latin typeface="+mn-ea"/>
              <a:ea typeface="+mn-ea"/>
            </a:rPr>
            <a:t>　前決算期　：</a:t>
          </a:r>
          <a:r>
            <a:rPr kumimoji="1" lang="en-US" altLang="ja-JP" sz="1200">
              <a:solidFill>
                <a:sysClr val="windowText" lastClr="000000"/>
              </a:solidFill>
              <a:latin typeface="+mn-ea"/>
              <a:ea typeface="+mn-ea"/>
            </a:rPr>
            <a:t>22/4 - 23/3</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カ月）</a:t>
          </a:r>
        </a:p>
        <a:p>
          <a:pPr algn="l"/>
          <a:r>
            <a:rPr kumimoji="1" lang="ja-JP" altLang="en-US" sz="1200">
              <a:solidFill>
                <a:sysClr val="windowText" lastClr="000000"/>
              </a:solidFill>
              <a:latin typeface="+mn-ea"/>
              <a:ea typeface="+mn-ea"/>
            </a:rPr>
            <a:t>　前々決算期：</a:t>
          </a:r>
          <a:r>
            <a:rPr kumimoji="1" lang="en-US" altLang="ja-JP" sz="1200">
              <a:solidFill>
                <a:sysClr val="windowText" lastClr="000000"/>
              </a:solidFill>
              <a:latin typeface="+mn-ea"/>
              <a:ea typeface="+mn-ea"/>
            </a:rPr>
            <a:t>21/4 - 22/3</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カ月）</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・最新決算期の数値を補正した計算シートを「最新決算期の決算書等」に添付した上で提出</a:t>
          </a:r>
        </a:p>
      </xdr:txBody>
    </xdr:sp>
    <xdr:clientData/>
  </xdr:twoCellAnchor>
  <xdr:twoCellAnchor>
    <xdr:from>
      <xdr:col>6</xdr:col>
      <xdr:colOff>1082194</xdr:colOff>
      <xdr:row>14</xdr:row>
      <xdr:rowOff>92780</xdr:rowOff>
    </xdr:from>
    <xdr:to>
      <xdr:col>17</xdr:col>
      <xdr:colOff>320799</xdr:colOff>
      <xdr:row>20</xdr:row>
      <xdr:rowOff>267265</xdr:rowOff>
    </xdr:to>
    <xdr:sp macro="" textlink="">
      <xdr:nvSpPr>
        <xdr:cNvPr id="33" name="吹き出し: 角を丸めた四角形 32">
          <a:extLst>
            <a:ext uri="{FF2B5EF4-FFF2-40B4-BE49-F238E27FC236}">
              <a16:creationId xmlns:a16="http://schemas.microsoft.com/office/drawing/2014/main" id="{E0848C58-44F3-4F10-8A7C-6B6C6A8DED5E}"/>
            </a:ext>
          </a:extLst>
        </xdr:cNvPr>
        <xdr:cNvSpPr/>
      </xdr:nvSpPr>
      <xdr:spPr>
        <a:xfrm>
          <a:off x="10693785" y="3088825"/>
          <a:ext cx="12383105" cy="2218031"/>
        </a:xfrm>
        <a:prstGeom prst="wedgeRoundRectCallout">
          <a:avLst>
            <a:gd name="adj1" fmla="val -8362"/>
            <a:gd name="adj2" fmla="val -65166"/>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en-US" altLang="ja-JP" sz="1200">
              <a:solidFill>
                <a:sysClr val="windowText" lastClr="000000"/>
              </a:solidFill>
            </a:rPr>
            <a:t>&lt;</a:t>
          </a:r>
          <a:r>
            <a:rPr kumimoji="1" lang="ja-JP" altLang="en-US" sz="1200">
              <a:solidFill>
                <a:sysClr val="windowText" lastClr="000000"/>
              </a:solidFill>
            </a:rPr>
            <a:t>期間情報の表示例：</a:t>
          </a:r>
          <a:r>
            <a:rPr kumimoji="1" lang="en-US" altLang="ja-JP" sz="1200">
              <a:solidFill>
                <a:sysClr val="windowText" lastClr="000000"/>
              </a:solidFill>
            </a:rPr>
            <a:t>(6)</a:t>
          </a:r>
          <a:r>
            <a:rPr kumimoji="1" lang="ja-JP" altLang="en-US" sz="1200">
              <a:solidFill>
                <a:sysClr val="windowText" lastClr="000000"/>
              </a:solidFill>
            </a:rPr>
            <a:t>基準年度変更で基準年度を翌年にずらす選択をした（</a:t>
          </a:r>
          <a:r>
            <a:rPr kumimoji="1" lang="en-US" altLang="ja-JP" sz="1200">
              <a:solidFill>
                <a:sysClr val="windowText" lastClr="000000"/>
              </a:solidFill>
            </a:rPr>
            <a:t>"</a:t>
          </a:r>
          <a:r>
            <a:rPr kumimoji="1" lang="ja-JP" altLang="en-US" sz="1200">
              <a:solidFill>
                <a:sysClr val="windowText" lastClr="000000"/>
              </a:solidFill>
            </a:rPr>
            <a:t>適用する</a:t>
          </a:r>
          <a:r>
            <a:rPr kumimoji="1" lang="en-US" altLang="ja-JP" sz="1200">
              <a:solidFill>
                <a:sysClr val="windowText" lastClr="000000"/>
              </a:solidFill>
            </a:rPr>
            <a:t>"</a:t>
          </a:r>
          <a:r>
            <a:rPr kumimoji="1" lang="ja-JP" altLang="en-US" sz="1200">
              <a:solidFill>
                <a:sysClr val="windowText" lastClr="000000"/>
              </a:solidFill>
            </a:rPr>
            <a:t>）／しない（</a:t>
          </a:r>
          <a:r>
            <a:rPr kumimoji="1" lang="en-US" altLang="ja-JP" sz="1200">
              <a:solidFill>
                <a:sysClr val="windowText" lastClr="000000"/>
              </a:solidFill>
            </a:rPr>
            <a:t>"</a:t>
          </a:r>
          <a:r>
            <a:rPr kumimoji="1" lang="ja-JP" altLang="en-US" sz="1200">
              <a:solidFill>
                <a:sysClr val="windowText" lastClr="000000"/>
              </a:solidFill>
            </a:rPr>
            <a:t>適用しない</a:t>
          </a:r>
          <a:r>
            <a:rPr kumimoji="1" lang="en-US" altLang="ja-JP" sz="1200">
              <a:solidFill>
                <a:sysClr val="windowText" lastClr="000000"/>
              </a:solidFill>
            </a:rPr>
            <a:t>"</a:t>
          </a:r>
          <a:r>
            <a:rPr kumimoji="1" lang="ja-JP" altLang="en-US" sz="1200">
              <a:solidFill>
                <a:sysClr val="windowText" lastClr="000000"/>
              </a:solidFill>
            </a:rPr>
            <a:t>）場合による違い</a:t>
          </a:r>
          <a:r>
            <a:rPr kumimoji="1" lang="en-US" altLang="ja-JP" sz="1200">
              <a:solidFill>
                <a:sysClr val="windowText" lastClr="000000"/>
              </a:solidFill>
            </a:rPr>
            <a:t>&gt;</a:t>
          </a:r>
        </a:p>
      </xdr:txBody>
    </xdr:sp>
    <xdr:clientData/>
  </xdr:twoCellAnchor>
  <xdr:twoCellAnchor>
    <xdr:from>
      <xdr:col>17</xdr:col>
      <xdr:colOff>113971</xdr:colOff>
      <xdr:row>28</xdr:row>
      <xdr:rowOff>140512</xdr:rowOff>
    </xdr:from>
    <xdr:to>
      <xdr:col>20</xdr:col>
      <xdr:colOff>990213</xdr:colOff>
      <xdr:row>33</xdr:row>
      <xdr:rowOff>270938</xdr:rowOff>
    </xdr:to>
    <xdr:sp macro="" textlink="">
      <xdr:nvSpPr>
        <xdr:cNvPr id="34" name="吹き出し: 角を丸めた四角形 33">
          <a:extLst>
            <a:ext uri="{FF2B5EF4-FFF2-40B4-BE49-F238E27FC236}">
              <a16:creationId xmlns:a16="http://schemas.microsoft.com/office/drawing/2014/main" id="{729E8A40-0FF1-4471-A4D2-2DB6FF653E00}"/>
            </a:ext>
          </a:extLst>
        </xdr:cNvPr>
        <xdr:cNvSpPr/>
      </xdr:nvSpPr>
      <xdr:spPr>
        <a:xfrm>
          <a:off x="22870062" y="7985648"/>
          <a:ext cx="3924242" cy="1481245"/>
        </a:xfrm>
        <a:prstGeom prst="wedgeRoundRectCallout">
          <a:avLst>
            <a:gd name="adj1" fmla="val -59462"/>
            <a:gd name="adj2" fmla="val -4734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marL="0" indent="0" algn="l"/>
          <a:r>
            <a:rPr kumimoji="1" lang="en-US" altLang="ja-JP" sz="1200">
              <a:solidFill>
                <a:sysClr val="windowText" lastClr="000000"/>
              </a:solidFill>
              <a:latin typeface="+mn-ea"/>
              <a:ea typeface="+mn-ea"/>
              <a:cs typeface="+mn-cs"/>
            </a:rPr>
            <a:t>2-4</a:t>
          </a:r>
          <a:r>
            <a:rPr kumimoji="1" lang="ja-JP" altLang="en-US" sz="1200">
              <a:solidFill>
                <a:sysClr val="windowText" lastClr="000000"/>
              </a:solidFill>
              <a:latin typeface="+mn-ea"/>
              <a:ea typeface="+mn-ea"/>
              <a:cs typeface="+mn-cs"/>
            </a:rPr>
            <a:t>（給与支給総額）</a:t>
          </a:r>
          <a:r>
            <a:rPr kumimoji="1" lang="en-US" altLang="ja-JP" sz="1200">
              <a:solidFill>
                <a:sysClr val="windowText" lastClr="000000"/>
              </a:solidFill>
              <a:latin typeface="+mn-ea"/>
              <a:ea typeface="+mn-ea"/>
              <a:cs typeface="+mn-cs"/>
            </a:rPr>
            <a:t>~2-9</a:t>
          </a:r>
          <a:r>
            <a:rPr kumimoji="1" lang="ja-JP" altLang="en-US" sz="1200">
              <a:solidFill>
                <a:sysClr val="windowText" lastClr="000000"/>
              </a:solidFill>
              <a:latin typeface="+mn-ea"/>
              <a:ea typeface="+mn-ea"/>
              <a:cs typeface="+mn-cs"/>
            </a:rPr>
            <a:t>（役員数）の入力内容に応じて、最新決算期から基準年度の従業員・役員合わせた</a:t>
          </a:r>
          <a:r>
            <a:rPr kumimoji="1" lang="en-US" altLang="ja-JP" sz="1200">
              <a:solidFill>
                <a:sysClr val="windowText" lastClr="000000"/>
              </a:solidFill>
              <a:latin typeface="+mn-ea"/>
              <a:ea typeface="+mn-ea"/>
              <a:cs typeface="+mn-cs"/>
            </a:rPr>
            <a:t>1</a:t>
          </a:r>
          <a:r>
            <a:rPr kumimoji="1" lang="ja-JP" altLang="en-US" sz="1200">
              <a:solidFill>
                <a:sysClr val="windowText" lastClr="000000"/>
              </a:solidFill>
              <a:latin typeface="+mn-ea"/>
              <a:ea typeface="+mn-ea"/>
              <a:cs typeface="+mn-cs"/>
            </a:rPr>
            <a:t>人当たりの給与支給総額の年平均上昇率が計算されます。</a:t>
          </a:r>
          <a:endParaRPr kumimoji="1" lang="en-US" altLang="ja-JP" sz="1200">
            <a:solidFill>
              <a:sysClr val="windowText" lastClr="000000"/>
            </a:solidFill>
            <a:latin typeface="+mn-ea"/>
            <a:ea typeface="+mn-ea"/>
            <a:cs typeface="+mn-cs"/>
          </a:endParaRPr>
        </a:p>
      </xdr:txBody>
    </xdr:sp>
    <xdr:clientData/>
  </xdr:twoCellAnchor>
  <xdr:twoCellAnchor editAs="oneCell">
    <xdr:from>
      <xdr:col>7</xdr:col>
      <xdr:colOff>112056</xdr:colOff>
      <xdr:row>19</xdr:row>
      <xdr:rowOff>58908</xdr:rowOff>
    </xdr:from>
    <xdr:to>
      <xdr:col>17</xdr:col>
      <xdr:colOff>7404</xdr:colOff>
      <xdr:row>20</xdr:row>
      <xdr:rowOff>142761</xdr:rowOff>
    </xdr:to>
    <xdr:pic>
      <xdr:nvPicPr>
        <xdr:cNvPr id="35" name="図 34">
          <a:extLst>
            <a:ext uri="{FF2B5EF4-FFF2-40B4-BE49-F238E27FC236}">
              <a16:creationId xmlns:a16="http://schemas.microsoft.com/office/drawing/2014/main" id="{120A069E-A19B-4227-9BE7-C409E78287BA}"/>
            </a:ext>
          </a:extLst>
        </xdr:cNvPr>
        <xdr:cNvPicPr>
          <a:picLocks noChangeAspect="1"/>
        </xdr:cNvPicPr>
      </xdr:nvPicPr>
      <xdr:blipFill>
        <a:blip xmlns:r="http://schemas.openxmlformats.org/officeDocument/2006/relationships" r:embed="rId1"/>
        <a:stretch>
          <a:fillRect/>
        </a:stretch>
      </xdr:blipFill>
      <xdr:spPr>
        <a:xfrm>
          <a:off x="10918601" y="4734817"/>
          <a:ext cx="11844894" cy="453885"/>
        </a:xfrm>
        <a:prstGeom prst="rect">
          <a:avLst/>
        </a:prstGeom>
      </xdr:spPr>
    </xdr:pic>
    <xdr:clientData/>
  </xdr:twoCellAnchor>
  <xdr:twoCellAnchor editAs="oneCell">
    <xdr:from>
      <xdr:col>7</xdr:col>
      <xdr:colOff>143014</xdr:colOff>
      <xdr:row>16</xdr:row>
      <xdr:rowOff>221359</xdr:rowOff>
    </xdr:from>
    <xdr:to>
      <xdr:col>17</xdr:col>
      <xdr:colOff>106998</xdr:colOff>
      <xdr:row>17</xdr:row>
      <xdr:rowOff>311832</xdr:rowOff>
    </xdr:to>
    <xdr:pic>
      <xdr:nvPicPr>
        <xdr:cNvPr id="36" name="図 35">
          <a:extLst>
            <a:ext uri="{FF2B5EF4-FFF2-40B4-BE49-F238E27FC236}">
              <a16:creationId xmlns:a16="http://schemas.microsoft.com/office/drawing/2014/main" id="{A3729293-8EA3-4820-9DCB-A307F972D4EC}"/>
            </a:ext>
          </a:extLst>
        </xdr:cNvPr>
        <xdr:cNvPicPr>
          <a:picLocks noChangeAspect="1"/>
        </xdr:cNvPicPr>
      </xdr:nvPicPr>
      <xdr:blipFill>
        <a:blip xmlns:r="http://schemas.openxmlformats.org/officeDocument/2006/relationships" r:embed="rId2"/>
        <a:stretch>
          <a:fillRect/>
        </a:stretch>
      </xdr:blipFill>
      <xdr:spPr>
        <a:xfrm>
          <a:off x="10949559" y="3806223"/>
          <a:ext cx="11907180" cy="460504"/>
        </a:xfrm>
        <a:prstGeom prst="rect">
          <a:avLst/>
        </a:prstGeom>
      </xdr:spPr>
    </xdr:pic>
    <xdr:clientData/>
  </xdr:twoCellAnchor>
  <xdr:twoCellAnchor>
    <xdr:from>
      <xdr:col>7</xdr:col>
      <xdr:colOff>40895</xdr:colOff>
      <xdr:row>18</xdr:row>
      <xdr:rowOff>118685</xdr:rowOff>
    </xdr:from>
    <xdr:to>
      <xdr:col>12</xdr:col>
      <xdr:colOff>997392</xdr:colOff>
      <xdr:row>19</xdr:row>
      <xdr:rowOff>51768</xdr:rowOff>
    </xdr:to>
    <xdr:sp macro="" textlink="">
      <xdr:nvSpPr>
        <xdr:cNvPr id="37" name="テキスト ボックス 36">
          <a:extLst>
            <a:ext uri="{FF2B5EF4-FFF2-40B4-BE49-F238E27FC236}">
              <a16:creationId xmlns:a16="http://schemas.microsoft.com/office/drawing/2014/main" id="{4CD73F45-6C51-4961-93D7-366740D22C7D}"/>
            </a:ext>
          </a:extLst>
        </xdr:cNvPr>
        <xdr:cNvSpPr txBox="1"/>
      </xdr:nvSpPr>
      <xdr:spPr>
        <a:xfrm>
          <a:off x="10847440" y="4430912"/>
          <a:ext cx="6931270" cy="296765"/>
        </a:xfrm>
        <a:prstGeom prst="rect">
          <a:avLst/>
        </a:prstGeom>
        <a:solidFill>
          <a:schemeClr val="accent1">
            <a:lumMod val="60000"/>
            <a:lumOff val="40000"/>
          </a:schemeClr>
        </a:solid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200" b="0">
              <a:solidFill>
                <a:sysClr val="windowText" lastClr="000000"/>
              </a:solidFill>
            </a:rPr>
            <a:t>”適用する”場合：「補助事業完了日を含む事業年度」の翌事業年度が</a:t>
          </a:r>
          <a:r>
            <a:rPr kumimoji="1" lang="en-US" altLang="ja-JP" sz="1200" b="0">
              <a:solidFill>
                <a:sysClr val="windowText" lastClr="000000"/>
              </a:solidFill>
            </a:rPr>
            <a:t>"</a:t>
          </a:r>
          <a:r>
            <a:rPr kumimoji="1" lang="ja-JP" altLang="en-US" sz="1200" b="0">
              <a:solidFill>
                <a:sysClr val="windowText" lastClr="000000"/>
              </a:solidFill>
            </a:rPr>
            <a:t>基準年度</a:t>
          </a:r>
          <a:r>
            <a:rPr kumimoji="1" lang="en-US" altLang="ja-JP" sz="1200" b="0">
              <a:solidFill>
                <a:sysClr val="windowText" lastClr="000000"/>
              </a:solidFill>
            </a:rPr>
            <a:t>"</a:t>
          </a:r>
          <a:r>
            <a:rPr kumimoji="1" lang="ja-JP" altLang="en-US" sz="1200" b="0">
              <a:solidFill>
                <a:sysClr val="windowText" lastClr="000000"/>
              </a:solidFill>
            </a:rPr>
            <a:t>として設定されます。</a:t>
          </a:r>
        </a:p>
      </xdr:txBody>
    </xdr:sp>
    <xdr:clientData/>
  </xdr:twoCellAnchor>
  <xdr:twoCellAnchor>
    <xdr:from>
      <xdr:col>7</xdr:col>
      <xdr:colOff>4610</xdr:colOff>
      <xdr:row>15</xdr:row>
      <xdr:rowOff>278461</xdr:rowOff>
    </xdr:from>
    <xdr:to>
      <xdr:col>12</xdr:col>
      <xdr:colOff>961107</xdr:colOff>
      <xdr:row>16</xdr:row>
      <xdr:rowOff>196274</xdr:rowOff>
    </xdr:to>
    <xdr:sp macro="" textlink="">
      <xdr:nvSpPr>
        <xdr:cNvPr id="38" name="テキスト ボックス 37">
          <a:extLst>
            <a:ext uri="{FF2B5EF4-FFF2-40B4-BE49-F238E27FC236}">
              <a16:creationId xmlns:a16="http://schemas.microsoft.com/office/drawing/2014/main" id="{B00E6154-F867-42CF-9DA5-1E6DADB3F7D2}"/>
            </a:ext>
          </a:extLst>
        </xdr:cNvPr>
        <xdr:cNvSpPr txBox="1"/>
      </xdr:nvSpPr>
      <xdr:spPr>
        <a:xfrm>
          <a:off x="10811155" y="3499643"/>
          <a:ext cx="6931270" cy="281495"/>
        </a:xfrm>
        <a:prstGeom prst="rect">
          <a:avLst/>
        </a:prstGeom>
        <a:solidFill>
          <a:schemeClr val="accent1">
            <a:lumMod val="60000"/>
            <a:lumOff val="40000"/>
          </a:schemeClr>
        </a:solid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200" b="0">
              <a:solidFill>
                <a:sysClr val="windowText" lastClr="000000"/>
              </a:solidFill>
            </a:rPr>
            <a:t>”適用しない”場合：「補助事業完了日を含む事業年度」が”基準年度”として設定されます。</a:t>
          </a:r>
          <a:endParaRPr kumimoji="1" lang="en-US" altLang="ja-JP" sz="1200" b="0">
            <a:solidFill>
              <a:sysClr val="windowText" lastClr="000000"/>
            </a:solidFill>
          </a:endParaRPr>
        </a:p>
      </xdr:txBody>
    </xdr:sp>
    <xdr:clientData/>
  </xdr:twoCellAnchor>
  <xdr:twoCellAnchor>
    <xdr:from>
      <xdr:col>4</xdr:col>
      <xdr:colOff>2430925</xdr:colOff>
      <xdr:row>30</xdr:row>
      <xdr:rowOff>66097</xdr:rowOff>
    </xdr:from>
    <xdr:to>
      <xdr:col>5</xdr:col>
      <xdr:colOff>1952838</xdr:colOff>
      <xdr:row>34</xdr:row>
      <xdr:rowOff>270808</xdr:rowOff>
    </xdr:to>
    <xdr:sp macro="" textlink="">
      <xdr:nvSpPr>
        <xdr:cNvPr id="40" name="吹き出し: 角を丸めた四角形 39">
          <a:extLst>
            <a:ext uri="{FF2B5EF4-FFF2-40B4-BE49-F238E27FC236}">
              <a16:creationId xmlns:a16="http://schemas.microsoft.com/office/drawing/2014/main" id="{97CA6B90-9849-4EA5-A382-462873972969}"/>
            </a:ext>
          </a:extLst>
        </xdr:cNvPr>
        <xdr:cNvSpPr/>
      </xdr:nvSpPr>
      <xdr:spPr>
        <a:xfrm>
          <a:off x="3868334" y="8448097"/>
          <a:ext cx="5306186" cy="1382347"/>
        </a:xfrm>
        <a:prstGeom prst="wedgeRoundRectCallout">
          <a:avLst>
            <a:gd name="adj1" fmla="val -55847"/>
            <a:gd name="adj2" fmla="val 43736"/>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常時使用する従業員とは、労働基準法第</a:t>
          </a:r>
          <a:r>
            <a:rPr kumimoji="1" lang="en-US" altLang="ja-JP" sz="1200">
              <a:solidFill>
                <a:sysClr val="windowText" lastClr="000000"/>
              </a:solidFill>
              <a:latin typeface="+mn-ea"/>
              <a:ea typeface="+mn-ea"/>
            </a:rPr>
            <a:t>20</a:t>
          </a:r>
          <a:r>
            <a:rPr kumimoji="1" lang="ja-JP" altLang="en-US" sz="1200">
              <a:solidFill>
                <a:sysClr val="windowText" lastClr="000000"/>
              </a:solidFill>
              <a:latin typeface="+mn-ea"/>
              <a:ea typeface="+mn-ea"/>
            </a:rPr>
            <a:t>条の規定に基づく「予め解雇の予告を必要とする者」と解されます。これには、日々雇い入れられる者、２か月以内の期間を定めて使用される者、季節的業務に４か月以内の期間を定めて使用される者、試みの使用期間中の者は含まれません。</a:t>
          </a:r>
          <a:endParaRPr kumimoji="1" lang="en-US" altLang="ja-JP" sz="1200">
            <a:solidFill>
              <a:sysClr val="windowText" lastClr="000000"/>
            </a:solidFill>
            <a:latin typeface="+mn-ea"/>
            <a:ea typeface="+mn-ea"/>
          </a:endParaRPr>
        </a:p>
      </xdr:txBody>
    </xdr:sp>
    <xdr:clientData/>
  </xdr:twoCellAnchor>
  <xdr:twoCellAnchor>
    <xdr:from>
      <xdr:col>4</xdr:col>
      <xdr:colOff>2559354</xdr:colOff>
      <xdr:row>35</xdr:row>
      <xdr:rowOff>214020</xdr:rowOff>
    </xdr:from>
    <xdr:to>
      <xdr:col>5</xdr:col>
      <xdr:colOff>393195</xdr:colOff>
      <xdr:row>38</xdr:row>
      <xdr:rowOff>89083</xdr:rowOff>
    </xdr:to>
    <xdr:sp macro="" textlink="">
      <xdr:nvSpPr>
        <xdr:cNvPr id="41" name="吹き出し: 角を丸めた四角形 40">
          <a:extLst>
            <a:ext uri="{FF2B5EF4-FFF2-40B4-BE49-F238E27FC236}">
              <a16:creationId xmlns:a16="http://schemas.microsoft.com/office/drawing/2014/main" id="{4C466403-3853-41C0-9E3B-FBE027A395C9}"/>
            </a:ext>
          </a:extLst>
        </xdr:cNvPr>
        <xdr:cNvSpPr/>
      </xdr:nvSpPr>
      <xdr:spPr>
        <a:xfrm>
          <a:off x="3996763" y="10137338"/>
          <a:ext cx="3618114" cy="966109"/>
        </a:xfrm>
        <a:prstGeom prst="wedgeRoundRectCallout">
          <a:avLst>
            <a:gd name="adj1" fmla="val -58511"/>
            <a:gd name="adj2" fmla="val 2627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特別償却費・即時償却費については、売上原価・販管費に含めている場合は減価償却費に含め、それ以外の場合は含めずに入力してください。</a:t>
          </a:r>
        </a:p>
      </xdr:txBody>
    </xdr:sp>
    <xdr:clientData/>
  </xdr:twoCellAnchor>
  <xdr:twoCellAnchor>
    <xdr:from>
      <xdr:col>6</xdr:col>
      <xdr:colOff>619120</xdr:colOff>
      <xdr:row>31</xdr:row>
      <xdr:rowOff>59159</xdr:rowOff>
    </xdr:from>
    <xdr:to>
      <xdr:col>14</xdr:col>
      <xdr:colOff>850202</xdr:colOff>
      <xdr:row>44</xdr:row>
      <xdr:rowOff>334698</xdr:rowOff>
    </xdr:to>
    <xdr:grpSp>
      <xdr:nvGrpSpPr>
        <xdr:cNvPr id="42" name="グループ化 41">
          <a:extLst>
            <a:ext uri="{FF2B5EF4-FFF2-40B4-BE49-F238E27FC236}">
              <a16:creationId xmlns:a16="http://schemas.microsoft.com/office/drawing/2014/main" id="{2B6E9A6C-A275-4C94-BA16-1DD6934A43B4}"/>
            </a:ext>
          </a:extLst>
        </xdr:cNvPr>
        <xdr:cNvGrpSpPr/>
      </xdr:nvGrpSpPr>
      <xdr:grpSpPr>
        <a:xfrm>
          <a:off x="10201270" y="8695159"/>
          <a:ext cx="9730682" cy="4923739"/>
          <a:chOff x="9737911" y="8487318"/>
          <a:chExt cx="9776041" cy="4343133"/>
        </a:xfrm>
        <a:solidFill>
          <a:schemeClr val="accent1">
            <a:lumMod val="60000"/>
            <a:lumOff val="40000"/>
          </a:schemeClr>
        </a:solidFill>
      </xdr:grpSpPr>
      <xdr:sp macro="" textlink="">
        <xdr:nvSpPr>
          <xdr:cNvPr id="43" name="四角形: 角を丸くする 42">
            <a:extLst>
              <a:ext uri="{FF2B5EF4-FFF2-40B4-BE49-F238E27FC236}">
                <a16:creationId xmlns:a16="http://schemas.microsoft.com/office/drawing/2014/main" id="{660DA739-7838-5C15-FA54-9E814B82791F}"/>
              </a:ext>
            </a:extLst>
          </xdr:cNvPr>
          <xdr:cNvSpPr/>
        </xdr:nvSpPr>
        <xdr:spPr>
          <a:xfrm>
            <a:off x="9755858" y="8487318"/>
            <a:ext cx="5521438" cy="905814"/>
          </a:xfrm>
          <a:prstGeom prst="roundRect">
            <a:avLst/>
          </a:prstGeom>
          <a:grp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従業員</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人当たり給与支給総額の上昇率 及び 労働生産性は、従業員の総就業時間ベースで審査いたします。</a:t>
            </a:r>
            <a:endParaRPr kumimoji="1" lang="en-US" altLang="ja-JP" sz="1200">
              <a:solidFill>
                <a:sysClr val="windowText" lastClr="000000"/>
              </a:solidFill>
              <a:latin typeface="+mn-ea"/>
              <a:ea typeface="+mn-ea"/>
            </a:endParaRPr>
          </a:p>
          <a:p>
            <a:pPr algn="l"/>
            <a:r>
              <a:rPr kumimoji="1" lang="ja-JP" altLang="en-US" sz="1200" b="1">
                <a:solidFill>
                  <a:sysClr val="windowText" lastClr="000000"/>
                </a:solidFill>
                <a:latin typeface="+mn-ea"/>
                <a:ea typeface="+mn-ea"/>
              </a:rPr>
              <a:t>本シート</a:t>
            </a:r>
            <a:r>
              <a:rPr kumimoji="1" lang="en-US" altLang="ja-JP" sz="1200" b="1">
                <a:solidFill>
                  <a:sysClr val="windowText" lastClr="000000"/>
                </a:solidFill>
                <a:latin typeface="+mn-ea"/>
                <a:ea typeface="+mn-ea"/>
              </a:rPr>
              <a:t>957~967</a:t>
            </a:r>
            <a:r>
              <a:rPr kumimoji="1" lang="ja-JP" altLang="en-US" sz="1200" b="1">
                <a:solidFill>
                  <a:sysClr val="windowText" lastClr="000000"/>
                </a:solidFill>
                <a:latin typeface="+mn-ea"/>
                <a:ea typeface="+mn-ea"/>
              </a:rPr>
              <a:t>行目の</a:t>
            </a:r>
            <a:r>
              <a:rPr kumimoji="1" lang="en-US" altLang="ja-JP" sz="1200" b="1">
                <a:solidFill>
                  <a:sysClr val="windowText" lastClr="000000"/>
                </a:solidFill>
                <a:latin typeface="+mn-ea"/>
                <a:ea typeface="+mn-ea"/>
              </a:rPr>
              <a:t>&lt;</a:t>
            </a:r>
            <a:r>
              <a:rPr kumimoji="1" lang="ja-JP" altLang="en-US" sz="1200" b="1">
                <a:solidFill>
                  <a:sysClr val="windowText" lastClr="000000"/>
                </a:solidFill>
                <a:latin typeface="+mn-ea"/>
                <a:ea typeface="+mn-ea"/>
              </a:rPr>
              <a:t>補足・留意事項</a:t>
            </a:r>
            <a:r>
              <a:rPr kumimoji="1" lang="en-US" altLang="ja-JP" sz="1200" b="1">
                <a:solidFill>
                  <a:sysClr val="windowText" lastClr="000000"/>
                </a:solidFill>
                <a:latin typeface="+mn-ea"/>
                <a:ea typeface="+mn-ea"/>
              </a:rPr>
              <a:t>&gt;</a:t>
            </a:r>
            <a:r>
              <a:rPr kumimoji="1" lang="ja-JP" altLang="en-US" sz="1200">
                <a:solidFill>
                  <a:sysClr val="windowText" lastClr="000000"/>
                </a:solidFill>
                <a:latin typeface="+mn-ea"/>
                <a:ea typeface="+mn-ea"/>
              </a:rPr>
              <a:t>を確認の上、入力してください。</a:t>
            </a:r>
            <a:endParaRPr kumimoji="1" lang="en-US" altLang="ja-JP" sz="1200">
              <a:solidFill>
                <a:sysClr val="windowText" lastClr="000000"/>
              </a:solidFill>
              <a:latin typeface="+mn-ea"/>
              <a:ea typeface="+mn-ea"/>
            </a:endParaRPr>
          </a:p>
        </xdr:txBody>
      </xdr:sp>
      <xdr:sp macro="" textlink="">
        <xdr:nvSpPr>
          <xdr:cNvPr id="44" name="四角形: 角を丸くする 43">
            <a:extLst>
              <a:ext uri="{FF2B5EF4-FFF2-40B4-BE49-F238E27FC236}">
                <a16:creationId xmlns:a16="http://schemas.microsoft.com/office/drawing/2014/main" id="{E12F5E3E-7E5B-B0B9-215E-CB59BF0903AA}"/>
              </a:ext>
            </a:extLst>
          </xdr:cNvPr>
          <xdr:cNvSpPr/>
        </xdr:nvSpPr>
        <xdr:spPr>
          <a:xfrm>
            <a:off x="10542052" y="9537914"/>
            <a:ext cx="8971900" cy="3292537"/>
          </a:xfrm>
          <a:prstGeom prst="roundRect">
            <a:avLst>
              <a:gd name="adj" fmla="val 8048"/>
            </a:avLst>
          </a:prstGeom>
          <a:grp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1">
                <a:solidFill>
                  <a:sysClr val="windowText" lastClr="000000"/>
                </a:solidFill>
                <a:latin typeface="+mn-ea"/>
                <a:ea typeface="+mn-ea"/>
              </a:rPr>
              <a:t>&lt;</a:t>
            </a:r>
            <a:r>
              <a:rPr kumimoji="1" lang="ja-JP" altLang="en-US" sz="1200" b="1">
                <a:solidFill>
                  <a:sysClr val="windowText" lastClr="000000"/>
                </a:solidFill>
                <a:latin typeface="+mn-ea"/>
                <a:ea typeface="+mn-ea"/>
              </a:rPr>
              <a:t>補足・留意事項</a:t>
            </a:r>
            <a:r>
              <a:rPr kumimoji="1" lang="en-US" altLang="ja-JP" sz="1200" b="1">
                <a:solidFill>
                  <a:sysClr val="windowText" lastClr="000000"/>
                </a:solidFill>
                <a:latin typeface="+mn-ea"/>
                <a:ea typeface="+mn-ea"/>
              </a:rPr>
              <a:t>&gt;</a:t>
            </a:r>
          </a:p>
          <a:p>
            <a:pPr algn="l"/>
            <a:r>
              <a:rPr kumimoji="1" lang="ja-JP" altLang="en-US" sz="1200" b="0">
                <a:solidFill>
                  <a:sysClr val="windowText" lastClr="000000"/>
                </a:solidFill>
                <a:latin typeface="+mn-ea"/>
                <a:ea typeface="+mn-ea"/>
              </a:rPr>
              <a:t>従業員</a:t>
            </a:r>
            <a:r>
              <a:rPr kumimoji="1" lang="en-US" altLang="ja-JP" sz="1200" b="0">
                <a:solidFill>
                  <a:sysClr val="windowText" lastClr="000000"/>
                </a:solidFill>
                <a:latin typeface="+mn-ea"/>
                <a:ea typeface="+mn-ea"/>
              </a:rPr>
              <a:t>1</a:t>
            </a:r>
            <a:r>
              <a:rPr kumimoji="1" lang="ja-JP" altLang="en-US" sz="1200" b="0">
                <a:solidFill>
                  <a:sysClr val="windowText" lastClr="000000"/>
                </a:solidFill>
                <a:latin typeface="+mn-ea"/>
                <a:ea typeface="+mn-ea"/>
              </a:rPr>
              <a:t>人当たり給与支給総額の上昇率 及び 労働生産性は、従業員の総就業時間ベースで審査いたします。</a:t>
            </a:r>
            <a:endParaRPr kumimoji="1" lang="en-US" altLang="ja-JP" sz="1200" b="0">
              <a:solidFill>
                <a:sysClr val="windowText" lastClr="000000"/>
              </a:solidFill>
              <a:latin typeface="+mn-ea"/>
              <a:ea typeface="+mn-ea"/>
            </a:endParaRPr>
          </a:p>
          <a:p>
            <a:pPr algn="l"/>
            <a:r>
              <a:rPr kumimoji="1" lang="ja-JP" altLang="en-US" sz="1200" b="0">
                <a:solidFill>
                  <a:sysClr val="windowText" lastClr="000000"/>
                </a:solidFill>
                <a:latin typeface="+mn-ea"/>
                <a:ea typeface="+mn-ea"/>
              </a:rPr>
              <a:t>なお、正社員は従業員数ベースでカウントし、就業時間換算はパートタイム従業者に対して適用してください。</a:t>
            </a:r>
            <a:endParaRPr kumimoji="1" lang="en-US" altLang="ja-JP" sz="1200" b="0">
              <a:solidFill>
                <a:sysClr val="windowText" lastClr="000000"/>
              </a:solidFill>
              <a:latin typeface="+mn-ea"/>
              <a:ea typeface="+mn-ea"/>
            </a:endParaRPr>
          </a:p>
          <a:p>
            <a:pPr algn="l"/>
            <a:r>
              <a:rPr kumimoji="1" lang="ja-JP" altLang="en-US" sz="1200" b="0">
                <a:solidFill>
                  <a:sysClr val="windowText" lastClr="000000"/>
                </a:solidFill>
                <a:latin typeface="+mn-ea"/>
                <a:ea typeface="+mn-ea"/>
              </a:rPr>
              <a:t>その場合、所定労働時間に換算するため、残業・深夜労働時間は含まず、事業者様の定時勤務時間で算出してください。</a:t>
            </a:r>
            <a:endParaRPr kumimoji="1" lang="en-US" altLang="ja-JP" sz="1200" b="0">
              <a:solidFill>
                <a:sysClr val="windowText" lastClr="000000"/>
              </a:solidFill>
              <a:latin typeface="+mn-ea"/>
              <a:ea typeface="+mn-ea"/>
            </a:endParaRPr>
          </a:p>
          <a:p>
            <a:pPr lvl="0" algn="l"/>
            <a:r>
              <a:rPr kumimoji="1" lang="ja-JP" altLang="en-US" sz="1200" b="1">
                <a:solidFill>
                  <a:sysClr val="windowText" lastClr="000000"/>
                </a:solidFill>
                <a:latin typeface="+mn-ea"/>
                <a:ea typeface="+mn-ea"/>
              </a:rPr>
              <a:t>＜就業時間換算パートタイム従業員数の考え方＞</a:t>
            </a:r>
            <a:endParaRPr kumimoji="1" lang="en-US" altLang="ja-JP" sz="1200" b="1">
              <a:solidFill>
                <a:sysClr val="windowText" lastClr="000000"/>
              </a:solidFill>
              <a:latin typeface="+mn-ea"/>
              <a:ea typeface="+mn-ea"/>
            </a:endParaRPr>
          </a:p>
          <a:p>
            <a:pPr lvl="0" algn="l"/>
            <a:r>
              <a:rPr kumimoji="1" lang="ja-JP" altLang="en-US" sz="1200">
                <a:solidFill>
                  <a:sysClr val="windowText" lastClr="000000"/>
                </a:solidFill>
                <a:latin typeface="+mn-ea"/>
                <a:ea typeface="+mn-ea"/>
              </a:rPr>
              <a:t>常用雇用者（企業に常時雇用されている者（期間を定めずに雇用されている者、１か月を超える期間を定めて雇用されている者又は企業が主として給与を負担している場合は含み、そうでない場合は除く。他の企業などから派遣されている者（労働者派遣法にいう派遣労働者）は除く。）のうち、１日の所定労働時間が正社員・正職員（一般に「正社員」、「正職員」などと呼ばれている者をいう。以下同じ。）よりも短い者又は１日の所定労働時間が正社員・正職員と同じで１週の所定労働日数が正社員・正職員よりも少ない者のいずれかに該当する者について、全員の１週の就業時間を足し合わせ、正社員・正職員の１人の就業時間で換算した人数。</a:t>
            </a:r>
            <a:endParaRPr kumimoji="1" lang="en-US" altLang="ja-JP" sz="1200">
              <a:solidFill>
                <a:sysClr val="windowText" lastClr="000000"/>
              </a:solidFill>
              <a:latin typeface="+mn-ea"/>
              <a:ea typeface="+mn-ea"/>
            </a:endParaRPr>
          </a:p>
          <a:p>
            <a:pPr lvl="0" algn="l"/>
            <a:r>
              <a:rPr kumimoji="1" lang="ja-JP" altLang="en-US" sz="1200" b="0">
                <a:solidFill>
                  <a:sysClr val="windowText" lastClr="000000"/>
                </a:solidFill>
                <a:latin typeface="+mn-ea"/>
                <a:ea typeface="+mn-ea"/>
              </a:rPr>
              <a:t>計算式としては、「パートタイム従業者の年就業時間</a:t>
            </a:r>
            <a:r>
              <a:rPr kumimoji="1" lang="en-US" altLang="ja-JP" sz="1200" b="0">
                <a:solidFill>
                  <a:sysClr val="windowText" lastClr="000000"/>
                </a:solidFill>
                <a:latin typeface="+mn-ea"/>
                <a:ea typeface="+mn-ea"/>
              </a:rPr>
              <a:t>÷</a:t>
            </a:r>
            <a:r>
              <a:rPr kumimoji="1" lang="ja-JP" altLang="en-US" sz="1200" b="0">
                <a:solidFill>
                  <a:sysClr val="windowText" lastClr="000000"/>
                </a:solidFill>
                <a:latin typeface="+mn-ea"/>
                <a:ea typeface="+mn-ea"/>
              </a:rPr>
              <a:t>正社員</a:t>
            </a:r>
            <a:r>
              <a:rPr kumimoji="1" lang="en-US" altLang="ja-JP" sz="1200" b="0">
                <a:solidFill>
                  <a:sysClr val="windowText" lastClr="000000"/>
                </a:solidFill>
                <a:latin typeface="+mn-ea"/>
                <a:ea typeface="+mn-ea"/>
              </a:rPr>
              <a:t>1</a:t>
            </a:r>
            <a:r>
              <a:rPr kumimoji="1" lang="ja-JP" altLang="en-US" sz="1200" b="0">
                <a:solidFill>
                  <a:sysClr val="windowText" lastClr="000000"/>
                </a:solidFill>
                <a:latin typeface="+mn-ea"/>
                <a:ea typeface="+mn-ea"/>
              </a:rPr>
              <a:t>人当たり年就業時間」</a:t>
            </a:r>
            <a:endParaRPr kumimoji="1" lang="en-US" altLang="ja-JP" sz="1200" b="0">
              <a:solidFill>
                <a:sysClr val="windowText" lastClr="000000"/>
              </a:solidFill>
              <a:latin typeface="+mn-ea"/>
              <a:ea typeface="+mn-ea"/>
            </a:endParaRPr>
          </a:p>
        </xdr:txBody>
      </xdr:sp>
      <xdr:cxnSp macro="">
        <xdr:nvCxnSpPr>
          <xdr:cNvPr id="45" name="コネクタ: カギ線 44">
            <a:extLst>
              <a:ext uri="{FF2B5EF4-FFF2-40B4-BE49-F238E27FC236}">
                <a16:creationId xmlns:a16="http://schemas.microsoft.com/office/drawing/2014/main" id="{A9BA2DC0-2943-3598-9B90-80F820E499D2}"/>
              </a:ext>
            </a:extLst>
          </xdr:cNvPr>
          <xdr:cNvCxnSpPr/>
        </xdr:nvCxnSpPr>
        <xdr:spPr>
          <a:xfrm flipH="1" flipV="1">
            <a:off x="9737911" y="8843902"/>
            <a:ext cx="864200" cy="905814"/>
          </a:xfrm>
          <a:prstGeom prst="bentConnector3">
            <a:avLst>
              <a:gd name="adj1" fmla="val 128231"/>
            </a:avLst>
          </a:prstGeom>
          <a:grpFill/>
          <a:ln w="28575">
            <a:solidFill>
              <a:srgbClr val="E26100"/>
            </a:solidFill>
            <a:prstDash val="sysDash"/>
            <a:headEnd type="triangle"/>
            <a:tailEnd type="non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155081</xdr:colOff>
      <xdr:row>45</xdr:row>
      <xdr:rowOff>164752</xdr:rowOff>
    </xdr:from>
    <xdr:to>
      <xdr:col>14</xdr:col>
      <xdr:colOff>942333</xdr:colOff>
      <xdr:row>49</xdr:row>
      <xdr:rowOff>135811</xdr:rowOff>
    </xdr:to>
    <xdr:sp macro="" textlink="">
      <xdr:nvSpPr>
        <xdr:cNvPr id="46" name="吹き出し: 角を丸めた四角形 76">
          <a:extLst>
            <a:ext uri="{FF2B5EF4-FFF2-40B4-BE49-F238E27FC236}">
              <a16:creationId xmlns:a16="http://schemas.microsoft.com/office/drawing/2014/main" id="{E739F8BB-3F29-4943-8BCB-C2740567330F}"/>
            </a:ext>
          </a:extLst>
        </xdr:cNvPr>
        <xdr:cNvSpPr/>
      </xdr:nvSpPr>
      <xdr:spPr>
        <a:xfrm>
          <a:off x="9766672" y="13724888"/>
          <a:ext cx="10346888" cy="1148696"/>
        </a:xfrm>
        <a:prstGeom prst="wedgeRoundRectCallout">
          <a:avLst>
            <a:gd name="adj1" fmla="val -54380"/>
            <a:gd name="adj2" fmla="val 28687"/>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marL="0" lvl="0" indent="0" algn="l"/>
          <a:r>
            <a:rPr kumimoji="1" lang="ja-JP" altLang="en-US" sz="1200" b="0">
              <a:solidFill>
                <a:sysClr val="windowText" lastClr="000000"/>
              </a:solidFill>
              <a:latin typeface="+mn-ea"/>
              <a:ea typeface="+mn-ea"/>
              <a:cs typeface="+mn-cs"/>
            </a:rPr>
            <a:t>設備投資額：建物、構築物、機械装置、土地、建設仮勘定、建物及び付属設備、構築物、機械及び装置、搬送設備及びその他の付属設備、船舶及び水上運搬具、鉄道車両、自動車その他の陸上運搬具、工具、器具及び備品（耐用年数が１年以上のものに限る。）、土地、建設仮勘定、その他の有形資産で流動資産又は投資たる資産に属しないものの額。修繕、増築、改造、購入手数料の費用の額を指します。詳細は右記の</a:t>
          </a:r>
          <a:r>
            <a:rPr kumimoji="1" lang="en-US" altLang="ja-JP" sz="1200" b="0">
              <a:solidFill>
                <a:sysClr val="windowText" lastClr="000000"/>
              </a:solidFill>
              <a:latin typeface="+mn-ea"/>
              <a:ea typeface="+mn-ea"/>
              <a:cs typeface="+mn-cs"/>
            </a:rPr>
            <a:t>URL</a:t>
          </a:r>
          <a:r>
            <a:rPr kumimoji="1" lang="ja-JP" altLang="en-US" sz="1200" b="0">
              <a:solidFill>
                <a:sysClr val="windowText" lastClr="000000"/>
              </a:solidFill>
              <a:latin typeface="+mn-ea"/>
              <a:ea typeface="+mn-ea"/>
              <a:cs typeface="+mn-cs"/>
            </a:rPr>
            <a:t>を参考ください。</a:t>
          </a:r>
          <a:endParaRPr kumimoji="1" lang="en-US" altLang="ja-JP" sz="1200" b="0">
            <a:solidFill>
              <a:sysClr val="windowText" lastClr="000000"/>
            </a:solidFill>
            <a:latin typeface="+mn-ea"/>
            <a:ea typeface="+mn-ea"/>
            <a:cs typeface="+mn-cs"/>
          </a:endParaRPr>
        </a:p>
      </xdr:txBody>
    </xdr:sp>
    <xdr:clientData/>
  </xdr:twoCellAnchor>
  <xdr:twoCellAnchor>
    <xdr:from>
      <xdr:col>6</xdr:col>
      <xdr:colOff>139206</xdr:colOff>
      <xdr:row>51</xdr:row>
      <xdr:rowOff>313790</xdr:rowOff>
    </xdr:from>
    <xdr:to>
      <xdr:col>12</xdr:col>
      <xdr:colOff>839704</xdr:colOff>
      <xdr:row>54</xdr:row>
      <xdr:rowOff>51343</xdr:rowOff>
    </xdr:to>
    <xdr:sp macro="" textlink="">
      <xdr:nvSpPr>
        <xdr:cNvPr id="80" name="吹き出し: 角を丸めた四角形 46">
          <a:extLst>
            <a:ext uri="{FF2B5EF4-FFF2-40B4-BE49-F238E27FC236}">
              <a16:creationId xmlns:a16="http://schemas.microsoft.com/office/drawing/2014/main" id="{3311AEF6-BE91-4605-AE68-1E0E468584EB}"/>
            </a:ext>
          </a:extLst>
        </xdr:cNvPr>
        <xdr:cNvSpPr/>
      </xdr:nvSpPr>
      <xdr:spPr>
        <a:xfrm>
          <a:off x="9750797" y="15778926"/>
          <a:ext cx="7870225" cy="551508"/>
        </a:xfrm>
        <a:prstGeom prst="wedgeRoundRectCallout">
          <a:avLst>
            <a:gd name="adj1" fmla="val -53083"/>
            <a:gd name="adj2" fmla="val -4846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能力開発費：正社員・正職員、契約社員、パートタイム従業者、アルバイトその他対価を受け取ってその事業に従事するものの能力を開発するためにかかった額を指します。詳細は右記の</a:t>
          </a:r>
          <a:r>
            <a:rPr kumimoji="1" lang="en-US" altLang="ja-JP" sz="1200">
              <a:solidFill>
                <a:sysClr val="windowText" lastClr="000000"/>
              </a:solidFill>
              <a:latin typeface="+mn-ea"/>
              <a:ea typeface="+mn-ea"/>
            </a:rPr>
            <a:t>URL</a:t>
          </a:r>
          <a:r>
            <a:rPr kumimoji="1" lang="ja-JP" altLang="en-US" sz="1200">
              <a:solidFill>
                <a:sysClr val="windowText" lastClr="000000"/>
              </a:solidFill>
              <a:latin typeface="+mn-ea"/>
              <a:ea typeface="+mn-ea"/>
            </a:rPr>
            <a:t>を参考ください。</a:t>
          </a:r>
          <a:endParaRPr kumimoji="1" lang="en-US" altLang="ja-JP" sz="1200">
            <a:solidFill>
              <a:sysClr val="windowText" lastClr="000000"/>
            </a:solidFill>
            <a:latin typeface="+mn-ea"/>
            <a:ea typeface="+mn-ea"/>
          </a:endParaRPr>
        </a:p>
      </xdr:txBody>
    </xdr:sp>
    <xdr:clientData/>
  </xdr:twoCellAnchor>
  <xdr:twoCellAnchor>
    <xdr:from>
      <xdr:col>6</xdr:col>
      <xdr:colOff>175036</xdr:colOff>
      <xdr:row>49</xdr:row>
      <xdr:rowOff>287467</xdr:rowOff>
    </xdr:from>
    <xdr:to>
      <xdr:col>11</xdr:col>
      <xdr:colOff>721690</xdr:colOff>
      <xdr:row>51</xdr:row>
      <xdr:rowOff>122699</xdr:rowOff>
    </xdr:to>
    <xdr:sp macro="" textlink="">
      <xdr:nvSpPr>
        <xdr:cNvPr id="48" name="吹き出し: 角を丸めた四角形 47">
          <a:extLst>
            <a:ext uri="{FF2B5EF4-FFF2-40B4-BE49-F238E27FC236}">
              <a16:creationId xmlns:a16="http://schemas.microsoft.com/office/drawing/2014/main" id="{DAA12FD7-57E2-49B7-9352-A81A4B2E55EB}"/>
            </a:ext>
          </a:extLst>
        </xdr:cNvPr>
        <xdr:cNvSpPr/>
      </xdr:nvSpPr>
      <xdr:spPr>
        <a:xfrm>
          <a:off x="9786627" y="15025240"/>
          <a:ext cx="6521427" cy="562595"/>
        </a:xfrm>
        <a:prstGeom prst="wedgeRoundRectCallout">
          <a:avLst>
            <a:gd name="adj1" fmla="val -55778"/>
            <a:gd name="adj2" fmla="val 1982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研究開発費：自社の研究開発のために、自社において使用した研究開発費の額を指します。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詳細は右記の</a:t>
          </a:r>
          <a:r>
            <a:rPr kumimoji="1" lang="en-US" altLang="ja-JP" sz="1200">
              <a:solidFill>
                <a:sysClr val="windowText" lastClr="000000"/>
              </a:solidFill>
              <a:latin typeface="+mn-ea"/>
              <a:ea typeface="+mn-ea"/>
            </a:rPr>
            <a:t>URL</a:t>
          </a:r>
          <a:r>
            <a:rPr kumimoji="1" lang="ja-JP" altLang="en-US" sz="1200">
              <a:solidFill>
                <a:sysClr val="windowText" lastClr="000000"/>
              </a:solidFill>
              <a:latin typeface="+mn-ea"/>
              <a:ea typeface="+mn-ea"/>
            </a:rPr>
            <a:t>を参考ください。</a:t>
          </a:r>
          <a:endParaRPr kumimoji="1" lang="en-US" altLang="ja-JP" sz="1200">
            <a:solidFill>
              <a:sysClr val="windowText" lastClr="000000"/>
            </a:solidFill>
            <a:latin typeface="+mn-ea"/>
            <a:ea typeface="+mn-ea"/>
          </a:endParaRPr>
        </a:p>
      </xdr:txBody>
    </xdr:sp>
    <xdr:clientData/>
  </xdr:twoCellAnchor>
  <xdr:twoCellAnchor>
    <xdr:from>
      <xdr:col>4</xdr:col>
      <xdr:colOff>2035822</xdr:colOff>
      <xdr:row>48</xdr:row>
      <xdr:rowOff>54348</xdr:rowOff>
    </xdr:from>
    <xdr:to>
      <xdr:col>5</xdr:col>
      <xdr:colOff>1490259</xdr:colOff>
      <xdr:row>50</xdr:row>
      <xdr:rowOff>19820</xdr:rowOff>
    </xdr:to>
    <xdr:sp macro="" textlink="">
      <xdr:nvSpPr>
        <xdr:cNvPr id="49" name="吹き出し: 角を丸めた四角形 48">
          <a:extLst>
            <a:ext uri="{FF2B5EF4-FFF2-40B4-BE49-F238E27FC236}">
              <a16:creationId xmlns:a16="http://schemas.microsoft.com/office/drawing/2014/main" id="{7CE015C3-AA94-45CF-B977-4CD7AAF2DE9E}"/>
            </a:ext>
          </a:extLst>
        </xdr:cNvPr>
        <xdr:cNvSpPr/>
      </xdr:nvSpPr>
      <xdr:spPr>
        <a:xfrm>
          <a:off x="3473231" y="14428439"/>
          <a:ext cx="5238710" cy="692836"/>
        </a:xfrm>
        <a:prstGeom prst="wedgeRoundRectCallout">
          <a:avLst>
            <a:gd name="adj1" fmla="val -58243"/>
            <a:gd name="adj2" fmla="val 2674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無形固定資産投資額に金融資産は該当されないため、無形固定資産投資額には含めずに記載をお願いいたします。詳細は右記の</a:t>
          </a:r>
          <a:r>
            <a:rPr kumimoji="1" lang="en-US" altLang="ja-JP" sz="1200">
              <a:solidFill>
                <a:sysClr val="windowText" lastClr="000000"/>
              </a:solidFill>
              <a:latin typeface="+mn-ea"/>
              <a:ea typeface="+mn-ea"/>
            </a:rPr>
            <a:t>URL</a:t>
          </a:r>
          <a:r>
            <a:rPr kumimoji="1" lang="ja-JP" altLang="en-US" sz="1200">
              <a:solidFill>
                <a:sysClr val="windowText" lastClr="000000"/>
              </a:solidFill>
              <a:latin typeface="+mn-ea"/>
              <a:ea typeface="+mn-ea"/>
            </a:rPr>
            <a:t>を参考ください。</a:t>
          </a:r>
        </a:p>
      </xdr:txBody>
    </xdr:sp>
    <xdr:clientData/>
  </xdr:twoCellAnchor>
  <xdr:twoCellAnchor>
    <xdr:from>
      <xdr:col>4</xdr:col>
      <xdr:colOff>2006792</xdr:colOff>
      <xdr:row>50</xdr:row>
      <xdr:rowOff>103293</xdr:rowOff>
    </xdr:from>
    <xdr:to>
      <xdr:col>4</xdr:col>
      <xdr:colOff>5355058</xdr:colOff>
      <xdr:row>55</xdr:row>
      <xdr:rowOff>130491</xdr:rowOff>
    </xdr:to>
    <xdr:sp macro="" textlink="">
      <xdr:nvSpPr>
        <xdr:cNvPr id="50" name="吹き出し: 角を丸めた四角形 49">
          <a:extLst>
            <a:ext uri="{FF2B5EF4-FFF2-40B4-BE49-F238E27FC236}">
              <a16:creationId xmlns:a16="http://schemas.microsoft.com/office/drawing/2014/main" id="{AAF6297A-E960-4DEB-99CB-E373963AE5DD}"/>
            </a:ext>
          </a:extLst>
        </xdr:cNvPr>
        <xdr:cNvSpPr/>
      </xdr:nvSpPr>
      <xdr:spPr>
        <a:xfrm>
          <a:off x="3444201" y="15204748"/>
          <a:ext cx="3348266" cy="1568516"/>
        </a:xfrm>
        <a:prstGeom prst="wedgeRoundRectCallout">
          <a:avLst>
            <a:gd name="adj1" fmla="val -71919"/>
            <a:gd name="adj2" fmla="val 8776"/>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仮に補助事業を実施しなかった場合の</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年間投資額、賃上げ率、売上成長率について記載をしてください。</a:t>
          </a:r>
          <a:endParaRPr kumimoji="1" lang="en-US" altLang="ja-JP" sz="1200">
            <a:solidFill>
              <a:sysClr val="windowText" lastClr="000000"/>
            </a:solidFill>
            <a:latin typeface="+mn-ea"/>
            <a:ea typeface="+mn-ea"/>
          </a:endParaRPr>
        </a:p>
      </xdr:txBody>
    </xdr:sp>
    <xdr:clientData/>
  </xdr:twoCellAnchor>
  <xdr:twoCellAnchor>
    <xdr:from>
      <xdr:col>4</xdr:col>
      <xdr:colOff>1373535</xdr:colOff>
      <xdr:row>73</xdr:row>
      <xdr:rowOff>17549</xdr:rowOff>
    </xdr:from>
    <xdr:to>
      <xdr:col>5</xdr:col>
      <xdr:colOff>191996</xdr:colOff>
      <xdr:row>77</xdr:row>
      <xdr:rowOff>88297</xdr:rowOff>
    </xdr:to>
    <xdr:sp macro="" textlink="">
      <xdr:nvSpPr>
        <xdr:cNvPr id="51" name="吹き出し: 角を丸めた四角形 50">
          <a:extLst>
            <a:ext uri="{FF2B5EF4-FFF2-40B4-BE49-F238E27FC236}">
              <a16:creationId xmlns:a16="http://schemas.microsoft.com/office/drawing/2014/main" id="{5D827C95-BFB3-43E2-AEE6-14DA8B5462B8}"/>
            </a:ext>
          </a:extLst>
        </xdr:cNvPr>
        <xdr:cNvSpPr/>
      </xdr:nvSpPr>
      <xdr:spPr>
        <a:xfrm>
          <a:off x="2810944" y="22739004"/>
          <a:ext cx="4602734" cy="1144475"/>
        </a:xfrm>
        <a:prstGeom prst="wedgeRoundRectCallout">
          <a:avLst>
            <a:gd name="adj1" fmla="val -55986"/>
            <a:gd name="adj2" fmla="val 37501"/>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6~7</a:t>
          </a:r>
          <a:r>
            <a:rPr kumimoji="1" lang="ja-JP" altLang="en-US" sz="1200">
              <a:solidFill>
                <a:sysClr val="windowText" lastClr="000000"/>
              </a:solidFill>
              <a:latin typeface="+mn-ea"/>
              <a:ea typeface="+mn-ea"/>
            </a:rPr>
            <a:t>項は補助事業について入力してください。</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78</a:t>
          </a:r>
          <a:r>
            <a:rPr kumimoji="1" lang="ja-JP" altLang="en-US" sz="1200">
              <a:solidFill>
                <a:sysClr val="windowText" lastClr="000000"/>
              </a:solidFill>
              <a:latin typeface="+mn-ea"/>
              <a:ea typeface="+mn-ea"/>
            </a:rPr>
            <a:t>行目以降＜補助事業にかかる財務数値＞にご記載頂く数値は、あくまで補助事業に関係する付加価値額、従業員・役員及びその給与総支給額で計算頂きます。</a:t>
          </a:r>
          <a:endParaRPr kumimoji="1" lang="en-US" altLang="ja-JP" sz="1200">
            <a:solidFill>
              <a:sysClr val="windowText" lastClr="000000"/>
            </a:solidFill>
            <a:latin typeface="+mn-ea"/>
            <a:ea typeface="+mn-ea"/>
          </a:endParaRPr>
        </a:p>
      </xdr:txBody>
    </xdr:sp>
    <xdr:clientData/>
  </xdr:twoCellAnchor>
  <xdr:twoCellAnchor>
    <xdr:from>
      <xdr:col>2</xdr:col>
      <xdr:colOff>55129</xdr:colOff>
      <xdr:row>78</xdr:row>
      <xdr:rowOff>1595</xdr:rowOff>
    </xdr:from>
    <xdr:to>
      <xdr:col>5</xdr:col>
      <xdr:colOff>1124020</xdr:colOff>
      <xdr:row>80</xdr:row>
      <xdr:rowOff>3549</xdr:rowOff>
    </xdr:to>
    <xdr:sp macro="" textlink="">
      <xdr:nvSpPr>
        <xdr:cNvPr id="52" name="四角形: 角を丸くする 51">
          <a:extLst>
            <a:ext uri="{FF2B5EF4-FFF2-40B4-BE49-F238E27FC236}">
              <a16:creationId xmlns:a16="http://schemas.microsoft.com/office/drawing/2014/main" id="{6F93D141-A0CC-4588-872A-EA0B375E9C08}"/>
            </a:ext>
          </a:extLst>
        </xdr:cNvPr>
        <xdr:cNvSpPr/>
      </xdr:nvSpPr>
      <xdr:spPr>
        <a:xfrm>
          <a:off x="782493" y="24021913"/>
          <a:ext cx="7563209" cy="452227"/>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5</xdr:col>
      <xdr:colOff>371782</xdr:colOff>
      <xdr:row>75</xdr:row>
      <xdr:rowOff>217393</xdr:rowOff>
    </xdr:from>
    <xdr:to>
      <xdr:col>5</xdr:col>
      <xdr:colOff>1160607</xdr:colOff>
      <xdr:row>77</xdr:row>
      <xdr:rowOff>86226</xdr:rowOff>
    </xdr:to>
    <xdr:sp macro="" textlink="">
      <xdr:nvSpPr>
        <xdr:cNvPr id="53" name="吹き出し: 角を丸めた四角形 52">
          <a:extLst>
            <a:ext uri="{FF2B5EF4-FFF2-40B4-BE49-F238E27FC236}">
              <a16:creationId xmlns:a16="http://schemas.microsoft.com/office/drawing/2014/main" id="{AF2A55F8-9C28-43E0-AEF5-CD5F568962A6}"/>
            </a:ext>
          </a:extLst>
        </xdr:cNvPr>
        <xdr:cNvSpPr/>
      </xdr:nvSpPr>
      <xdr:spPr>
        <a:xfrm>
          <a:off x="7593464" y="23527666"/>
          <a:ext cx="788825" cy="353742"/>
        </a:xfrm>
        <a:prstGeom prst="wedgeRoundRectCallout">
          <a:avLst>
            <a:gd name="adj1" fmla="val -33632"/>
            <a:gd name="adj2" fmla="val 7324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ポイント</a:t>
          </a:r>
          <a:endParaRPr kumimoji="1" lang="en-US" altLang="ja-JP" sz="1200" b="1">
            <a:solidFill>
              <a:sysClr val="windowText" lastClr="000000"/>
            </a:solidFill>
            <a:latin typeface="+mn-ea"/>
            <a:ea typeface="+mn-ea"/>
          </a:endParaRPr>
        </a:p>
      </xdr:txBody>
    </xdr:sp>
    <xdr:clientData/>
  </xdr:twoCellAnchor>
  <xdr:twoCellAnchor>
    <xdr:from>
      <xdr:col>4</xdr:col>
      <xdr:colOff>1581931</xdr:colOff>
      <xdr:row>80</xdr:row>
      <xdr:rowOff>203516</xdr:rowOff>
    </xdr:from>
    <xdr:to>
      <xdr:col>4</xdr:col>
      <xdr:colOff>5649129</xdr:colOff>
      <xdr:row>83</xdr:row>
      <xdr:rowOff>88436</xdr:rowOff>
    </xdr:to>
    <xdr:sp macro="" textlink="">
      <xdr:nvSpPr>
        <xdr:cNvPr id="54" name="吹き出し: 角を丸めた四角形 53">
          <a:extLst>
            <a:ext uri="{FF2B5EF4-FFF2-40B4-BE49-F238E27FC236}">
              <a16:creationId xmlns:a16="http://schemas.microsoft.com/office/drawing/2014/main" id="{14F42903-D4F0-43EC-AC11-79ADB4C6F010}"/>
            </a:ext>
          </a:extLst>
        </xdr:cNvPr>
        <xdr:cNvSpPr/>
      </xdr:nvSpPr>
      <xdr:spPr>
        <a:xfrm>
          <a:off x="3019340" y="24674107"/>
          <a:ext cx="4067198" cy="975965"/>
        </a:xfrm>
        <a:prstGeom prst="wedgeRoundRectCallout">
          <a:avLst>
            <a:gd name="adj1" fmla="val -58511"/>
            <a:gd name="adj2" fmla="val 3548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補助事業に係る個別の販管費の数値が手元にない場合は、全社の販管費を案分することで計算し、営業利益を計算してください。</a:t>
          </a:r>
        </a:p>
      </xdr:txBody>
    </xdr:sp>
    <xdr:clientData/>
  </xdr:twoCellAnchor>
  <xdr:twoCellAnchor>
    <xdr:from>
      <xdr:col>7</xdr:col>
      <xdr:colOff>29235</xdr:colOff>
      <xdr:row>69</xdr:row>
      <xdr:rowOff>218497</xdr:rowOff>
    </xdr:from>
    <xdr:to>
      <xdr:col>10</xdr:col>
      <xdr:colOff>31671</xdr:colOff>
      <xdr:row>71</xdr:row>
      <xdr:rowOff>12074</xdr:rowOff>
    </xdr:to>
    <xdr:sp macro="" textlink="">
      <xdr:nvSpPr>
        <xdr:cNvPr id="55" name="吹き出し: 角を丸めた四角形 54">
          <a:extLst>
            <a:ext uri="{FF2B5EF4-FFF2-40B4-BE49-F238E27FC236}">
              <a16:creationId xmlns:a16="http://schemas.microsoft.com/office/drawing/2014/main" id="{C2D5C3A3-36FE-4A6C-87EE-38B19C98D44A}"/>
            </a:ext>
          </a:extLst>
        </xdr:cNvPr>
        <xdr:cNvSpPr/>
      </xdr:nvSpPr>
      <xdr:spPr>
        <a:xfrm>
          <a:off x="10835780" y="21398633"/>
          <a:ext cx="3587300" cy="607532"/>
        </a:xfrm>
        <a:prstGeom prst="wedgeRoundRectCallout">
          <a:avLst>
            <a:gd name="adj1" fmla="val -54894"/>
            <a:gd name="adj2" fmla="val 4182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大分類の選択に応じて、選択肢がリストされます。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以降の業種選択も同様</a:t>
          </a:r>
          <a:endParaRPr kumimoji="1" lang="en-US" altLang="ja-JP" sz="1200">
            <a:solidFill>
              <a:sysClr val="windowText" lastClr="000000"/>
            </a:solidFill>
            <a:latin typeface="+mn-ea"/>
            <a:ea typeface="+mn-ea"/>
          </a:endParaRPr>
        </a:p>
      </xdr:txBody>
    </xdr:sp>
    <xdr:clientData/>
  </xdr:twoCellAnchor>
  <xdr:twoCellAnchor>
    <xdr:from>
      <xdr:col>7</xdr:col>
      <xdr:colOff>5196</xdr:colOff>
      <xdr:row>71</xdr:row>
      <xdr:rowOff>68723</xdr:rowOff>
    </xdr:from>
    <xdr:to>
      <xdr:col>10</xdr:col>
      <xdr:colOff>1282</xdr:colOff>
      <xdr:row>72</xdr:row>
      <xdr:rowOff>298060</xdr:rowOff>
    </xdr:to>
    <xdr:sp macro="" textlink="">
      <xdr:nvSpPr>
        <xdr:cNvPr id="56" name="吹き出し: 角を丸めた四角形 55">
          <a:extLst>
            <a:ext uri="{FF2B5EF4-FFF2-40B4-BE49-F238E27FC236}">
              <a16:creationId xmlns:a16="http://schemas.microsoft.com/office/drawing/2014/main" id="{A2EDA792-BC36-4134-8D29-35F1AFD8A329}"/>
            </a:ext>
          </a:extLst>
        </xdr:cNvPr>
        <xdr:cNvSpPr/>
      </xdr:nvSpPr>
      <xdr:spPr>
        <a:xfrm>
          <a:off x="10811741" y="22062814"/>
          <a:ext cx="3580950" cy="593019"/>
        </a:xfrm>
        <a:prstGeom prst="wedgeRoundRectCallout">
          <a:avLst>
            <a:gd name="adj1" fmla="val -54894"/>
            <a:gd name="adj2" fmla="val -2013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中分類の選択に応じて、選択肢がリストされます。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以降の業種選択も同様</a:t>
          </a:r>
          <a:endParaRPr kumimoji="1" lang="en-US" altLang="ja-JP" sz="1200">
            <a:solidFill>
              <a:sysClr val="windowText" lastClr="000000"/>
            </a:solidFill>
            <a:latin typeface="+mn-ea"/>
            <a:ea typeface="+mn-ea"/>
          </a:endParaRPr>
        </a:p>
      </xdr:txBody>
    </xdr:sp>
    <xdr:clientData/>
  </xdr:twoCellAnchor>
  <xdr:twoCellAnchor>
    <xdr:from>
      <xdr:col>6</xdr:col>
      <xdr:colOff>321253</xdr:colOff>
      <xdr:row>73</xdr:row>
      <xdr:rowOff>219831</xdr:rowOff>
    </xdr:from>
    <xdr:to>
      <xdr:col>9</xdr:col>
      <xdr:colOff>349540</xdr:colOff>
      <xdr:row>78</xdr:row>
      <xdr:rowOff>54429</xdr:rowOff>
    </xdr:to>
    <xdr:sp macro="" textlink="">
      <xdr:nvSpPr>
        <xdr:cNvPr id="57" name="吹き出し: 角を丸めた四角形 56">
          <a:extLst>
            <a:ext uri="{FF2B5EF4-FFF2-40B4-BE49-F238E27FC236}">
              <a16:creationId xmlns:a16="http://schemas.microsoft.com/office/drawing/2014/main" id="{3863FF50-10BE-4150-BF1E-B833B6D562C7}"/>
            </a:ext>
          </a:extLst>
        </xdr:cNvPr>
        <xdr:cNvSpPr/>
      </xdr:nvSpPr>
      <xdr:spPr>
        <a:xfrm>
          <a:off x="9909753" y="23261260"/>
          <a:ext cx="3593358" cy="1140883"/>
        </a:xfrm>
        <a:prstGeom prst="wedgeRoundRectCallout">
          <a:avLst>
            <a:gd name="adj1" fmla="val -34308"/>
            <a:gd name="adj2" fmla="val -58396"/>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r>
            <a:rPr kumimoji="1" lang="ja-JP" altLang="ja-JP" sz="1200">
              <a:solidFill>
                <a:sysClr val="windowText" lastClr="000000"/>
              </a:solidFill>
              <a:effectLst/>
              <a:latin typeface="+mn-lt"/>
              <a:ea typeface="+mn-ea"/>
              <a:cs typeface="+mn-cs"/>
            </a:rPr>
            <a:t>大分類「</a:t>
          </a:r>
          <a:r>
            <a:rPr kumimoji="1" lang="en-US" altLang="ja-JP" sz="1200">
              <a:solidFill>
                <a:sysClr val="windowText" lastClr="000000"/>
              </a:solidFill>
              <a:effectLst/>
              <a:latin typeface="+mn-lt"/>
              <a:ea typeface="+mn-ea"/>
              <a:cs typeface="+mn-cs"/>
            </a:rPr>
            <a:t>T_</a:t>
          </a:r>
          <a:r>
            <a:rPr kumimoji="1" lang="ja-JP" altLang="ja-JP" sz="1200">
              <a:solidFill>
                <a:sysClr val="windowText" lastClr="000000"/>
              </a:solidFill>
              <a:effectLst/>
              <a:latin typeface="+mn-lt"/>
              <a:ea typeface="+mn-ea"/>
              <a:cs typeface="+mn-cs"/>
            </a:rPr>
            <a:t>分類不能」、小分類「”その他の”もしくは”他に分類されない”から始まる産業」を選択した場合は記載ください。</a:t>
          </a:r>
          <a:endParaRPr lang="ja-JP" altLang="ja-JP" sz="1200">
            <a:solidFill>
              <a:sysClr val="windowText" lastClr="000000"/>
            </a:solidFill>
            <a:effectLst/>
          </a:endParaRPr>
        </a:p>
      </xdr:txBody>
    </xdr:sp>
    <xdr:clientData/>
  </xdr:twoCellAnchor>
  <xdr:twoCellAnchor>
    <xdr:from>
      <xdr:col>11</xdr:col>
      <xdr:colOff>52406</xdr:colOff>
      <xdr:row>62</xdr:row>
      <xdr:rowOff>10678</xdr:rowOff>
    </xdr:from>
    <xdr:to>
      <xdr:col>17</xdr:col>
      <xdr:colOff>151161</xdr:colOff>
      <xdr:row>82</xdr:row>
      <xdr:rowOff>97597</xdr:rowOff>
    </xdr:to>
    <xdr:sp macro="" textlink="">
      <xdr:nvSpPr>
        <xdr:cNvPr id="60" name="吹き出し: 角を丸めた四角形 59">
          <a:extLst>
            <a:ext uri="{FF2B5EF4-FFF2-40B4-BE49-F238E27FC236}">
              <a16:creationId xmlns:a16="http://schemas.microsoft.com/office/drawing/2014/main" id="{3C7D9B0D-EFA2-4941-92F6-0AC5150DE8A9}"/>
            </a:ext>
          </a:extLst>
        </xdr:cNvPr>
        <xdr:cNvSpPr/>
      </xdr:nvSpPr>
      <xdr:spPr>
        <a:xfrm>
          <a:off x="15638770" y="18922133"/>
          <a:ext cx="7268482" cy="6373419"/>
        </a:xfrm>
        <a:prstGeom prst="wedgeRoundRectCallout">
          <a:avLst>
            <a:gd name="adj1" fmla="val -105020"/>
            <a:gd name="adj2" fmla="val -1693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marL="0" indent="0" algn="l"/>
          <a:r>
            <a:rPr kumimoji="1" lang="en-US" altLang="ja-JP" sz="1200">
              <a:solidFill>
                <a:sysClr val="windowText" lastClr="000000"/>
              </a:solidFill>
              <a:latin typeface="+mn-ea"/>
              <a:ea typeface="+mn-ea"/>
              <a:cs typeface="+mn-cs"/>
            </a:rPr>
            <a:t>5-4 </a:t>
          </a:r>
          <a:r>
            <a:rPr kumimoji="1" lang="ja-JP" altLang="en-US" sz="1200">
              <a:solidFill>
                <a:sysClr val="windowText" lastClr="000000"/>
              </a:solidFill>
              <a:latin typeface="+mn-ea"/>
              <a:ea typeface="+mn-ea"/>
              <a:cs typeface="+mn-cs"/>
            </a:rPr>
            <a:t>女性活躍推進法に基づく一般事業主行動計画を公表している企業あるいはくるみん認定企業、</a:t>
          </a:r>
          <a:r>
            <a:rPr kumimoji="1" lang="en-US" altLang="ja-JP" sz="1200">
              <a:solidFill>
                <a:sysClr val="windowText" lastClr="000000"/>
              </a:solidFill>
              <a:latin typeface="+mn-ea"/>
              <a:ea typeface="+mn-ea"/>
              <a:cs typeface="+mn-cs"/>
            </a:rPr>
            <a:t>5-5 </a:t>
          </a:r>
          <a:r>
            <a:rPr kumimoji="1" lang="ja-JP" altLang="en-US" sz="1200">
              <a:solidFill>
                <a:sysClr val="windowText" lastClr="000000"/>
              </a:solidFill>
              <a:latin typeface="+mn-ea"/>
              <a:ea typeface="+mn-ea"/>
              <a:cs typeface="+mn-cs"/>
            </a:rPr>
            <a:t>次世代育成支援対策推進法に基づく一般事業主行動計画を公表している企業あるいはえるぼし認定企業は、該当の場合、総合サイト（</a:t>
          </a:r>
          <a:r>
            <a:rPr kumimoji="1" lang="en-US" altLang="ja-JP" sz="1200">
              <a:solidFill>
                <a:sysClr val="windowText" lastClr="000000"/>
              </a:solidFill>
              <a:latin typeface="+mn-ea"/>
              <a:ea typeface="+mn-ea"/>
              <a:cs typeface="+mn-cs"/>
            </a:rPr>
            <a:t>https://positive-ryouritsu.mhlw.go.jp/</a:t>
          </a:r>
          <a:r>
            <a:rPr kumimoji="1" lang="ja-JP" altLang="en-US" sz="1200">
              <a:solidFill>
                <a:sysClr val="windowText" lastClr="000000"/>
              </a:solidFill>
              <a:latin typeface="+mn-ea"/>
              <a:ea typeface="+mn-ea"/>
              <a:cs typeface="+mn-cs"/>
            </a:rPr>
            <a:t>）より検索を行い、下記のようなデータが記載されているウェブサイトの</a:t>
          </a:r>
          <a:r>
            <a:rPr kumimoji="1" lang="en-US" altLang="ja-JP" sz="1200">
              <a:solidFill>
                <a:sysClr val="windowText" lastClr="000000"/>
              </a:solidFill>
              <a:latin typeface="+mn-ea"/>
              <a:ea typeface="+mn-ea"/>
              <a:cs typeface="+mn-cs"/>
            </a:rPr>
            <a:t>URL</a:t>
          </a:r>
          <a:r>
            <a:rPr kumimoji="1" lang="ja-JP" altLang="en-US" sz="1200">
              <a:solidFill>
                <a:sysClr val="windowText" lastClr="000000"/>
              </a:solidFill>
              <a:latin typeface="+mn-ea"/>
              <a:ea typeface="+mn-ea"/>
              <a:cs typeface="+mn-cs"/>
            </a:rPr>
            <a:t>を記載してください。</a:t>
          </a:r>
          <a:endParaRPr kumimoji="1" lang="en-US" altLang="ja-JP" sz="1200">
            <a:solidFill>
              <a:sysClr val="windowText" lastClr="000000"/>
            </a:solidFill>
            <a:latin typeface="+mn-ea"/>
            <a:ea typeface="+mn-ea"/>
            <a:cs typeface="+mn-cs"/>
          </a:endParaRPr>
        </a:p>
      </xdr:txBody>
    </xdr:sp>
    <xdr:clientData/>
  </xdr:twoCellAnchor>
  <xdr:twoCellAnchor editAs="oneCell">
    <xdr:from>
      <xdr:col>11</xdr:col>
      <xdr:colOff>702410</xdr:colOff>
      <xdr:row>67</xdr:row>
      <xdr:rowOff>268132</xdr:rowOff>
    </xdr:from>
    <xdr:to>
      <xdr:col>16</xdr:col>
      <xdr:colOff>467551</xdr:colOff>
      <xdr:row>80</xdr:row>
      <xdr:rowOff>322942</xdr:rowOff>
    </xdr:to>
    <xdr:pic>
      <xdr:nvPicPr>
        <xdr:cNvPr id="61" name="図 60">
          <a:extLst>
            <a:ext uri="{FF2B5EF4-FFF2-40B4-BE49-F238E27FC236}">
              <a16:creationId xmlns:a16="http://schemas.microsoft.com/office/drawing/2014/main" id="{54950D0C-06CE-4A5C-A698-94422A8D0E78}"/>
            </a:ext>
          </a:extLst>
        </xdr:cNvPr>
        <xdr:cNvPicPr>
          <a:picLocks noChangeAspect="1"/>
        </xdr:cNvPicPr>
      </xdr:nvPicPr>
      <xdr:blipFill>
        <a:blip xmlns:r="http://schemas.openxmlformats.org/officeDocument/2006/relationships" r:embed="rId3"/>
        <a:stretch>
          <a:fillRect/>
        </a:stretch>
      </xdr:blipFill>
      <xdr:spPr>
        <a:xfrm>
          <a:off x="16288774" y="20720905"/>
          <a:ext cx="5733563" cy="4072628"/>
        </a:xfrm>
        <a:prstGeom prst="rect">
          <a:avLst/>
        </a:prstGeom>
      </xdr:spPr>
    </xdr:pic>
    <xdr:clientData/>
  </xdr:twoCellAnchor>
  <xdr:twoCellAnchor editAs="oneCell">
    <xdr:from>
      <xdr:col>11</xdr:col>
      <xdr:colOff>716654</xdr:colOff>
      <xdr:row>67</xdr:row>
      <xdr:rowOff>40131</xdr:rowOff>
    </xdr:from>
    <xdr:to>
      <xdr:col>16</xdr:col>
      <xdr:colOff>428532</xdr:colOff>
      <xdr:row>67</xdr:row>
      <xdr:rowOff>305242</xdr:rowOff>
    </xdr:to>
    <xdr:pic>
      <xdr:nvPicPr>
        <xdr:cNvPr id="62" name="図 61">
          <a:extLst>
            <a:ext uri="{FF2B5EF4-FFF2-40B4-BE49-F238E27FC236}">
              <a16:creationId xmlns:a16="http://schemas.microsoft.com/office/drawing/2014/main" id="{0733F2AC-3008-46A5-A521-5301DC733090}"/>
            </a:ext>
          </a:extLst>
        </xdr:cNvPr>
        <xdr:cNvPicPr>
          <a:picLocks noChangeAspect="1"/>
        </xdr:cNvPicPr>
      </xdr:nvPicPr>
      <xdr:blipFill>
        <a:blip xmlns:r="http://schemas.openxmlformats.org/officeDocument/2006/relationships" r:embed="rId4"/>
        <a:stretch>
          <a:fillRect/>
        </a:stretch>
      </xdr:blipFill>
      <xdr:spPr>
        <a:xfrm>
          <a:off x="16303018" y="20492904"/>
          <a:ext cx="5693000" cy="265111"/>
        </a:xfrm>
        <a:prstGeom prst="rect">
          <a:avLst/>
        </a:prstGeom>
      </xdr:spPr>
    </xdr:pic>
    <xdr:clientData/>
  </xdr:twoCellAnchor>
  <xdr:twoCellAnchor>
    <xdr:from>
      <xdr:col>7</xdr:col>
      <xdr:colOff>643948</xdr:colOff>
      <xdr:row>67</xdr:row>
      <xdr:rowOff>135918</xdr:rowOff>
    </xdr:from>
    <xdr:to>
      <xdr:col>12</xdr:col>
      <xdr:colOff>400050</xdr:colOff>
      <xdr:row>67</xdr:row>
      <xdr:rowOff>154968</xdr:rowOff>
    </xdr:to>
    <xdr:cxnSp macro="">
      <xdr:nvCxnSpPr>
        <xdr:cNvPr id="63" name="直線矢印コネクタ 62">
          <a:extLst>
            <a:ext uri="{FF2B5EF4-FFF2-40B4-BE49-F238E27FC236}">
              <a16:creationId xmlns:a16="http://schemas.microsoft.com/office/drawing/2014/main" id="{9BBB959B-911F-45C5-8450-85C7AA3A62FD}"/>
            </a:ext>
          </a:extLst>
        </xdr:cNvPr>
        <xdr:cNvCxnSpPr/>
      </xdr:nvCxnSpPr>
      <xdr:spPr>
        <a:xfrm flipH="1" flipV="1">
          <a:off x="11450493" y="20588691"/>
          <a:ext cx="5730875" cy="19050"/>
        </a:xfrm>
        <a:prstGeom prst="straightConnector1">
          <a:avLst/>
        </a:prstGeom>
        <a:ln w="28575">
          <a:solidFill>
            <a:srgbClr val="E26100"/>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643948</xdr:colOff>
      <xdr:row>67</xdr:row>
      <xdr:rowOff>193068</xdr:rowOff>
    </xdr:from>
    <xdr:to>
      <xdr:col>12</xdr:col>
      <xdr:colOff>352425</xdr:colOff>
      <xdr:row>68</xdr:row>
      <xdr:rowOff>270230</xdr:rowOff>
    </xdr:to>
    <xdr:cxnSp macro="">
      <xdr:nvCxnSpPr>
        <xdr:cNvPr id="64" name="直線矢印コネクタ 63">
          <a:extLst>
            <a:ext uri="{FF2B5EF4-FFF2-40B4-BE49-F238E27FC236}">
              <a16:creationId xmlns:a16="http://schemas.microsoft.com/office/drawing/2014/main" id="{D21AF9FB-7C23-4A42-A3E4-AC426EAAD4DD}"/>
            </a:ext>
          </a:extLst>
        </xdr:cNvPr>
        <xdr:cNvCxnSpPr/>
      </xdr:nvCxnSpPr>
      <xdr:spPr>
        <a:xfrm flipH="1">
          <a:off x="11450493" y="20645841"/>
          <a:ext cx="5683250" cy="440844"/>
        </a:xfrm>
        <a:prstGeom prst="straightConnector1">
          <a:avLst/>
        </a:prstGeom>
        <a:ln w="28575">
          <a:solidFill>
            <a:srgbClr val="E26100"/>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4000500</xdr:colOff>
      <xdr:row>86</xdr:row>
      <xdr:rowOff>103909</xdr:rowOff>
    </xdr:from>
    <xdr:to>
      <xdr:col>5</xdr:col>
      <xdr:colOff>2267831</xdr:colOff>
      <xdr:row>89</xdr:row>
      <xdr:rowOff>220598</xdr:rowOff>
    </xdr:to>
    <xdr:sp macro="" textlink="">
      <xdr:nvSpPr>
        <xdr:cNvPr id="65" name="吹き出し: 角を丸めた四角形 64">
          <a:extLst>
            <a:ext uri="{FF2B5EF4-FFF2-40B4-BE49-F238E27FC236}">
              <a16:creationId xmlns:a16="http://schemas.microsoft.com/office/drawing/2014/main" id="{59D8C978-1004-4EC8-8B5F-731C3F504C09}"/>
            </a:ext>
          </a:extLst>
        </xdr:cNvPr>
        <xdr:cNvSpPr/>
      </xdr:nvSpPr>
      <xdr:spPr>
        <a:xfrm>
          <a:off x="5437909" y="26756591"/>
          <a:ext cx="4051604" cy="1207734"/>
        </a:xfrm>
        <a:prstGeom prst="wedgeRoundRectCallout">
          <a:avLst>
            <a:gd name="adj1" fmla="val -58511"/>
            <a:gd name="adj2" fmla="val 3548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雇用契約がある社員が会社法上の取締役を兼務するなどの場合であっても、従業員・役員どちらかに含めていただきますが、どちらに含めるかについては事業者様にてご判断いただいて構いません。</a:t>
          </a:r>
        </a:p>
      </xdr:txBody>
    </xdr:sp>
    <xdr:clientData/>
  </xdr:twoCellAnchor>
  <xdr:twoCellAnchor>
    <xdr:from>
      <xdr:col>6</xdr:col>
      <xdr:colOff>1184072</xdr:colOff>
      <xdr:row>94</xdr:row>
      <xdr:rowOff>52542</xdr:rowOff>
    </xdr:from>
    <xdr:to>
      <xdr:col>14</xdr:col>
      <xdr:colOff>275036</xdr:colOff>
      <xdr:row>94</xdr:row>
      <xdr:rowOff>341449</xdr:rowOff>
    </xdr:to>
    <xdr:sp macro="" textlink="">
      <xdr:nvSpPr>
        <xdr:cNvPr id="66" name="四角形: 角を丸くする 65">
          <a:extLst>
            <a:ext uri="{FF2B5EF4-FFF2-40B4-BE49-F238E27FC236}">
              <a16:creationId xmlns:a16="http://schemas.microsoft.com/office/drawing/2014/main" id="{D7F40167-7FE7-4177-B389-1FCAF097D14E}"/>
            </a:ext>
          </a:extLst>
        </xdr:cNvPr>
        <xdr:cNvSpPr/>
      </xdr:nvSpPr>
      <xdr:spPr>
        <a:xfrm>
          <a:off x="10795663" y="29614678"/>
          <a:ext cx="8650600" cy="288907"/>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7</xdr:col>
      <xdr:colOff>941618</xdr:colOff>
      <xdr:row>92</xdr:row>
      <xdr:rowOff>210707</xdr:rowOff>
    </xdr:from>
    <xdr:to>
      <xdr:col>8</xdr:col>
      <xdr:colOff>532313</xdr:colOff>
      <xdr:row>93</xdr:row>
      <xdr:rowOff>215585</xdr:rowOff>
    </xdr:to>
    <xdr:sp macro="" textlink="">
      <xdr:nvSpPr>
        <xdr:cNvPr id="67" name="吹き出し: 角を丸めた四角形 66">
          <a:extLst>
            <a:ext uri="{FF2B5EF4-FFF2-40B4-BE49-F238E27FC236}">
              <a16:creationId xmlns:a16="http://schemas.microsoft.com/office/drawing/2014/main" id="{BB62B7B4-387E-480D-8435-9A6C10DBF936}"/>
            </a:ext>
          </a:extLst>
        </xdr:cNvPr>
        <xdr:cNvSpPr/>
      </xdr:nvSpPr>
      <xdr:spPr>
        <a:xfrm>
          <a:off x="11748163" y="29045480"/>
          <a:ext cx="785650" cy="368560"/>
        </a:xfrm>
        <a:prstGeom prst="wedgeRoundRectCallout">
          <a:avLst>
            <a:gd name="adj1" fmla="val -33632"/>
            <a:gd name="adj2" fmla="val 7324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ポイント</a:t>
          </a:r>
          <a:endParaRPr kumimoji="1" lang="en-US" altLang="ja-JP" sz="1200" b="1">
            <a:solidFill>
              <a:sysClr val="windowText" lastClr="000000"/>
            </a:solidFill>
            <a:latin typeface="+mn-ea"/>
            <a:ea typeface="+mn-ea"/>
          </a:endParaRPr>
        </a:p>
      </xdr:txBody>
    </xdr:sp>
    <xdr:clientData/>
  </xdr:twoCellAnchor>
  <xdr:twoCellAnchor>
    <xdr:from>
      <xdr:col>6</xdr:col>
      <xdr:colOff>1054805</xdr:colOff>
      <xdr:row>97</xdr:row>
      <xdr:rowOff>31464</xdr:rowOff>
    </xdr:from>
    <xdr:to>
      <xdr:col>10</xdr:col>
      <xdr:colOff>467937</xdr:colOff>
      <xdr:row>100</xdr:row>
      <xdr:rowOff>96594</xdr:rowOff>
    </xdr:to>
    <xdr:grpSp>
      <xdr:nvGrpSpPr>
        <xdr:cNvPr id="68" name="グループ化 67">
          <a:extLst>
            <a:ext uri="{FF2B5EF4-FFF2-40B4-BE49-F238E27FC236}">
              <a16:creationId xmlns:a16="http://schemas.microsoft.com/office/drawing/2014/main" id="{0E41E14B-340A-4C15-9416-9F8A5ECE1996}"/>
            </a:ext>
          </a:extLst>
        </xdr:cNvPr>
        <xdr:cNvGrpSpPr/>
      </xdr:nvGrpSpPr>
      <xdr:grpSpPr>
        <a:xfrm>
          <a:off x="10636955" y="30714664"/>
          <a:ext cx="4162932" cy="1030330"/>
          <a:chOff x="14278509" y="26684695"/>
          <a:chExt cx="4233885" cy="1011864"/>
        </a:xfrm>
        <a:solidFill>
          <a:schemeClr val="accent1">
            <a:lumMod val="60000"/>
            <a:lumOff val="40000"/>
          </a:schemeClr>
        </a:solidFill>
      </xdr:grpSpPr>
      <xdr:sp macro="" textlink="">
        <xdr:nvSpPr>
          <xdr:cNvPr id="69" name="吹き出し: 角を丸めた四角形 68">
            <a:extLst>
              <a:ext uri="{FF2B5EF4-FFF2-40B4-BE49-F238E27FC236}">
                <a16:creationId xmlns:a16="http://schemas.microsoft.com/office/drawing/2014/main" id="{EA3F7940-B1AD-D61C-B908-5A7DB3955164}"/>
              </a:ext>
            </a:extLst>
          </xdr:cNvPr>
          <xdr:cNvSpPr/>
        </xdr:nvSpPr>
        <xdr:spPr>
          <a:xfrm>
            <a:off x="14278509" y="26684695"/>
            <a:ext cx="4233885" cy="1011864"/>
          </a:xfrm>
          <a:prstGeom prst="wedgeRoundRectCallout">
            <a:avLst>
              <a:gd name="adj1" fmla="val -57145"/>
              <a:gd name="adj2" fmla="val 38092"/>
              <a:gd name="adj3" fmla="val 16667"/>
            </a:avLst>
          </a:prstGeom>
          <a:grp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複数拠点で補助事業を行う場合に入力してください。</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入力に応じて、</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拠点目以降（</a:t>
            </a:r>
            <a:r>
              <a:rPr kumimoji="1" lang="en-US" altLang="ja-JP" sz="1200">
                <a:solidFill>
                  <a:sysClr val="windowText" lastClr="000000"/>
                </a:solidFill>
                <a:latin typeface="+mn-ea"/>
                <a:ea typeface="+mn-ea"/>
              </a:rPr>
              <a:t>129</a:t>
            </a:r>
            <a:r>
              <a:rPr kumimoji="1" lang="ja-JP" altLang="en-US" sz="1200">
                <a:solidFill>
                  <a:sysClr val="windowText" lastClr="000000"/>
                </a:solidFill>
                <a:latin typeface="+mn-ea"/>
                <a:ea typeface="+mn-ea"/>
              </a:rPr>
              <a:t>行目以降）の該当項目が</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　　　　　　　</a:t>
            </a:r>
            <a:r>
              <a:rPr kumimoji="1" lang="ja-JP" altLang="en-US" sz="1200" baseline="0">
                <a:solidFill>
                  <a:sysClr val="windowText" lastClr="000000"/>
                </a:solidFill>
                <a:latin typeface="+mn-ea"/>
                <a:ea typeface="+mn-ea"/>
              </a:rPr>
              <a:t> </a:t>
            </a:r>
            <a:r>
              <a:rPr kumimoji="1" lang="ja-JP" altLang="en-US" sz="1200">
                <a:solidFill>
                  <a:sysClr val="windowText" lastClr="000000"/>
                </a:solidFill>
                <a:latin typeface="+mn-ea"/>
                <a:ea typeface="+mn-ea"/>
              </a:rPr>
              <a:t>から　　　　　に変更されます。</a:t>
            </a:r>
            <a:endParaRPr kumimoji="1" lang="en-US" altLang="ja-JP" sz="1200">
              <a:solidFill>
                <a:sysClr val="windowText" lastClr="000000"/>
              </a:solidFill>
              <a:latin typeface="+mn-ea"/>
              <a:ea typeface="+mn-ea"/>
            </a:endParaRPr>
          </a:p>
        </xdr:txBody>
      </xdr:sp>
      <xdr:sp macro="" textlink="">
        <xdr:nvSpPr>
          <xdr:cNvPr id="70" name="テキスト ボックス 69">
            <a:extLst>
              <a:ext uri="{FF2B5EF4-FFF2-40B4-BE49-F238E27FC236}">
                <a16:creationId xmlns:a16="http://schemas.microsoft.com/office/drawing/2014/main" id="{37BEAEFC-8868-3A06-EBA8-C61AA3818E8D}"/>
              </a:ext>
            </a:extLst>
          </xdr:cNvPr>
          <xdr:cNvSpPr txBox="1"/>
        </xdr:nvSpPr>
        <xdr:spPr>
          <a:xfrm>
            <a:off x="15786190" y="27402999"/>
            <a:ext cx="721633" cy="254692"/>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1" name="テキスト ボックス 70">
            <a:extLst>
              <a:ext uri="{FF2B5EF4-FFF2-40B4-BE49-F238E27FC236}">
                <a16:creationId xmlns:a16="http://schemas.microsoft.com/office/drawing/2014/main" id="{BBFBF5D0-ACBC-406E-8450-A721EB3AFD34}"/>
              </a:ext>
            </a:extLst>
          </xdr:cNvPr>
          <xdr:cNvSpPr txBox="1"/>
        </xdr:nvSpPr>
        <xdr:spPr>
          <a:xfrm>
            <a:off x="14385287" y="27402999"/>
            <a:ext cx="1073277" cy="254692"/>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grpSp>
    <xdr:clientData/>
  </xdr:twoCellAnchor>
  <xdr:twoCellAnchor>
    <xdr:from>
      <xdr:col>6</xdr:col>
      <xdr:colOff>1110370</xdr:colOff>
      <xdr:row>112</xdr:row>
      <xdr:rowOff>237443</xdr:rowOff>
    </xdr:from>
    <xdr:to>
      <xdr:col>8</xdr:col>
      <xdr:colOff>1083761</xdr:colOff>
      <xdr:row>114</xdr:row>
      <xdr:rowOff>315798</xdr:rowOff>
    </xdr:to>
    <xdr:sp macro="" textlink="">
      <xdr:nvSpPr>
        <xdr:cNvPr id="72" name="吹き出し: 角を丸めた四角形 71">
          <a:extLst>
            <a:ext uri="{FF2B5EF4-FFF2-40B4-BE49-F238E27FC236}">
              <a16:creationId xmlns:a16="http://schemas.microsoft.com/office/drawing/2014/main" id="{C7C6CA55-4008-4169-BA11-EF82FAF598B0}"/>
            </a:ext>
          </a:extLst>
        </xdr:cNvPr>
        <xdr:cNvSpPr/>
      </xdr:nvSpPr>
      <xdr:spPr>
        <a:xfrm>
          <a:off x="10721961" y="34977716"/>
          <a:ext cx="2363300" cy="909627"/>
        </a:xfrm>
        <a:prstGeom prst="wedgeRoundRectCallout">
          <a:avLst>
            <a:gd name="adj1" fmla="val -59685"/>
            <a:gd name="adj2" fmla="val -410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A_</a:t>
          </a:r>
          <a:r>
            <a:rPr kumimoji="1" lang="ja-JP" altLang="en-US" sz="1200">
              <a:solidFill>
                <a:sysClr val="windowText" lastClr="000000"/>
              </a:solidFill>
              <a:latin typeface="+mn-ea"/>
              <a:ea typeface="+mn-ea"/>
            </a:rPr>
            <a:t>農業・林業」「</a:t>
          </a:r>
          <a:r>
            <a:rPr kumimoji="1" lang="en-US" altLang="ja-JP" sz="1200">
              <a:solidFill>
                <a:sysClr val="windowText" lastClr="000000"/>
              </a:solidFill>
              <a:latin typeface="+mn-ea"/>
              <a:ea typeface="+mn-ea"/>
            </a:rPr>
            <a:t>B_</a:t>
          </a:r>
          <a:r>
            <a:rPr kumimoji="1" lang="ja-JP" altLang="en-US" sz="1200">
              <a:solidFill>
                <a:sysClr val="windowText" lastClr="000000"/>
              </a:solidFill>
              <a:latin typeface="+mn-ea"/>
              <a:ea typeface="+mn-ea"/>
            </a:rPr>
            <a:t>漁業」は対象外のため選択できません。</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※2~47</a:t>
          </a:r>
          <a:r>
            <a:rPr kumimoji="1" lang="ja-JP" altLang="en-US" sz="1200">
              <a:solidFill>
                <a:sysClr val="windowText" lastClr="000000"/>
              </a:solidFill>
              <a:latin typeface="+mn-ea"/>
              <a:ea typeface="+mn-ea"/>
            </a:rPr>
            <a:t>拠点目も同様</a:t>
          </a:r>
        </a:p>
      </xdr:txBody>
    </xdr:sp>
    <xdr:clientData/>
  </xdr:twoCellAnchor>
  <xdr:twoCellAnchor>
    <xdr:from>
      <xdr:col>6</xdr:col>
      <xdr:colOff>507850</xdr:colOff>
      <xdr:row>108</xdr:row>
      <xdr:rowOff>126057</xdr:rowOff>
    </xdr:from>
    <xdr:to>
      <xdr:col>8</xdr:col>
      <xdr:colOff>209116</xdr:colOff>
      <xdr:row>111</xdr:row>
      <xdr:rowOff>40862</xdr:rowOff>
    </xdr:to>
    <xdr:sp macro="" textlink="">
      <xdr:nvSpPr>
        <xdr:cNvPr id="73" name="吹き出し: 角を丸めた四角形 72">
          <a:extLst>
            <a:ext uri="{FF2B5EF4-FFF2-40B4-BE49-F238E27FC236}">
              <a16:creationId xmlns:a16="http://schemas.microsoft.com/office/drawing/2014/main" id="{ADC784AD-D2F6-4085-8517-59C7D2037345}"/>
            </a:ext>
          </a:extLst>
        </xdr:cNvPr>
        <xdr:cNvSpPr/>
      </xdr:nvSpPr>
      <xdr:spPr>
        <a:xfrm>
          <a:off x="10119441" y="33809921"/>
          <a:ext cx="2091175" cy="607532"/>
        </a:xfrm>
        <a:prstGeom prst="wedgeRoundRectCallout">
          <a:avLst>
            <a:gd name="adj1" fmla="val -38200"/>
            <a:gd name="adj2" fmla="val 6823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7-1</a:t>
          </a:r>
          <a:r>
            <a:rPr kumimoji="1" lang="ja-JP" altLang="en-US" sz="1200">
              <a:solidFill>
                <a:sysClr val="windowText" lastClr="000000"/>
              </a:solidFill>
              <a:latin typeface="+mn-ea"/>
              <a:ea typeface="+mn-ea"/>
            </a:rPr>
            <a:t>項で選択した都道府県が反映されます。</a:t>
          </a:r>
          <a:endParaRPr kumimoji="1" lang="en-US" altLang="ja-JP" sz="1200">
            <a:solidFill>
              <a:sysClr val="windowText" lastClr="000000"/>
            </a:solidFill>
            <a:latin typeface="+mn-ea"/>
            <a:ea typeface="+mn-ea"/>
          </a:endParaRPr>
        </a:p>
      </xdr:txBody>
    </xdr:sp>
    <xdr:clientData/>
  </xdr:twoCellAnchor>
  <xdr:twoCellAnchor>
    <xdr:from>
      <xdr:col>6</xdr:col>
      <xdr:colOff>427894</xdr:colOff>
      <xdr:row>125</xdr:row>
      <xdr:rowOff>174559</xdr:rowOff>
    </xdr:from>
    <xdr:to>
      <xdr:col>8</xdr:col>
      <xdr:colOff>119635</xdr:colOff>
      <xdr:row>128</xdr:row>
      <xdr:rowOff>203215</xdr:rowOff>
    </xdr:to>
    <xdr:sp macro="" textlink="">
      <xdr:nvSpPr>
        <xdr:cNvPr id="74" name="吹き出し: 角を丸めた四角形 73">
          <a:extLst>
            <a:ext uri="{FF2B5EF4-FFF2-40B4-BE49-F238E27FC236}">
              <a16:creationId xmlns:a16="http://schemas.microsoft.com/office/drawing/2014/main" id="{D947F815-F248-4162-AF7C-7227912ECF00}"/>
            </a:ext>
          </a:extLst>
        </xdr:cNvPr>
        <xdr:cNvSpPr/>
      </xdr:nvSpPr>
      <xdr:spPr>
        <a:xfrm>
          <a:off x="10039485" y="39469514"/>
          <a:ext cx="2081650" cy="981156"/>
        </a:xfrm>
        <a:prstGeom prst="wedgeRoundRectCallout">
          <a:avLst>
            <a:gd name="adj1" fmla="val -38200"/>
            <a:gd name="adj2" fmla="val 6823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7-2</a:t>
          </a:r>
          <a:r>
            <a:rPr kumimoji="1" lang="ja-JP" altLang="en-US" sz="1200">
              <a:solidFill>
                <a:sysClr val="windowText" lastClr="000000"/>
              </a:solidFill>
              <a:latin typeface="+mn-ea"/>
              <a:ea typeface="+mn-ea"/>
            </a:rPr>
            <a:t>項で選択した都道府県が反映されます。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※3~47</a:t>
          </a:r>
          <a:r>
            <a:rPr kumimoji="1" lang="ja-JP" altLang="en-US" sz="1200">
              <a:solidFill>
                <a:sysClr val="windowText" lastClr="000000"/>
              </a:solidFill>
              <a:latin typeface="+mn-ea"/>
              <a:ea typeface="+mn-ea"/>
            </a:rPr>
            <a:t>拠点目も同様</a:t>
          </a:r>
        </a:p>
      </xdr:txBody>
    </xdr:sp>
    <xdr:clientData/>
  </xdr:twoCellAnchor>
  <xdr:twoCellAnchor>
    <xdr:from>
      <xdr:col>5</xdr:col>
      <xdr:colOff>2362488</xdr:colOff>
      <xdr:row>117</xdr:row>
      <xdr:rowOff>191517</xdr:rowOff>
    </xdr:from>
    <xdr:to>
      <xdr:col>14</xdr:col>
      <xdr:colOff>855885</xdr:colOff>
      <xdr:row>119</xdr:row>
      <xdr:rowOff>29719</xdr:rowOff>
    </xdr:to>
    <xdr:sp macro="" textlink="">
      <xdr:nvSpPr>
        <xdr:cNvPr id="75" name="四角形: 角を丸くする 74">
          <a:extLst>
            <a:ext uri="{FF2B5EF4-FFF2-40B4-BE49-F238E27FC236}">
              <a16:creationId xmlns:a16="http://schemas.microsoft.com/office/drawing/2014/main" id="{40135B70-ADC1-4AB0-85E7-25499E5FDCF8}"/>
            </a:ext>
          </a:extLst>
        </xdr:cNvPr>
        <xdr:cNvSpPr/>
      </xdr:nvSpPr>
      <xdr:spPr>
        <a:xfrm>
          <a:off x="9563388" y="37424742"/>
          <a:ext cx="10409172" cy="295402"/>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7</xdr:col>
      <xdr:colOff>728943</xdr:colOff>
      <xdr:row>118</xdr:row>
      <xdr:rowOff>219044</xdr:rowOff>
    </xdr:from>
    <xdr:to>
      <xdr:col>9</xdr:col>
      <xdr:colOff>689633</xdr:colOff>
      <xdr:row>120</xdr:row>
      <xdr:rowOff>244614</xdr:rowOff>
    </xdr:to>
    <xdr:sp macro="" textlink="">
      <xdr:nvSpPr>
        <xdr:cNvPr id="76" name="吹き出し: 角を丸めた四角形 75">
          <a:extLst>
            <a:ext uri="{FF2B5EF4-FFF2-40B4-BE49-F238E27FC236}">
              <a16:creationId xmlns:a16="http://schemas.microsoft.com/office/drawing/2014/main" id="{9B48D840-18D5-4294-86C2-09612BF5D05D}"/>
            </a:ext>
          </a:extLst>
        </xdr:cNvPr>
        <xdr:cNvSpPr/>
      </xdr:nvSpPr>
      <xdr:spPr>
        <a:xfrm>
          <a:off x="11535488" y="37106771"/>
          <a:ext cx="2350600" cy="614388"/>
        </a:xfrm>
        <a:prstGeom prst="wedgeRoundRectCallout">
          <a:avLst>
            <a:gd name="adj1" fmla="val -20865"/>
            <a:gd name="adj2" fmla="val -75633"/>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11</a:t>
          </a:r>
          <a:r>
            <a:rPr kumimoji="1" lang="ja-JP" altLang="en-US" sz="1200">
              <a:solidFill>
                <a:sysClr val="windowText" lastClr="000000"/>
              </a:solidFill>
              <a:latin typeface="+mn-ea"/>
              <a:ea typeface="+mn-ea"/>
            </a:rPr>
            <a:t>行目と同内容が反映されます。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※2~47</a:t>
          </a:r>
          <a:r>
            <a:rPr kumimoji="1" lang="ja-JP" altLang="en-US" sz="1200">
              <a:solidFill>
                <a:sysClr val="windowText" lastClr="000000"/>
              </a:solidFill>
              <a:latin typeface="+mn-ea"/>
              <a:ea typeface="+mn-ea"/>
            </a:rPr>
            <a:t>拠点目も同様</a:t>
          </a:r>
        </a:p>
      </xdr:txBody>
    </xdr:sp>
    <xdr:clientData/>
  </xdr:twoCellAnchor>
  <xdr:twoCellAnchor>
    <xdr:from>
      <xdr:col>13</xdr:col>
      <xdr:colOff>49661</xdr:colOff>
      <xdr:row>116</xdr:row>
      <xdr:rowOff>0</xdr:rowOff>
    </xdr:from>
    <xdr:to>
      <xdr:col>17</xdr:col>
      <xdr:colOff>100804</xdr:colOff>
      <xdr:row>119</xdr:row>
      <xdr:rowOff>234092</xdr:rowOff>
    </xdr:to>
    <xdr:sp macro="" textlink="">
      <xdr:nvSpPr>
        <xdr:cNvPr id="77" name="吹き出し: 角を丸めた四角形 76">
          <a:extLst>
            <a:ext uri="{FF2B5EF4-FFF2-40B4-BE49-F238E27FC236}">
              <a16:creationId xmlns:a16="http://schemas.microsoft.com/office/drawing/2014/main" id="{696BC07C-C9A5-4236-91F0-6C1E3BC0902A}"/>
            </a:ext>
          </a:extLst>
        </xdr:cNvPr>
        <xdr:cNvSpPr/>
      </xdr:nvSpPr>
      <xdr:spPr>
        <a:xfrm>
          <a:off x="18025934" y="36437455"/>
          <a:ext cx="4830961" cy="909501"/>
        </a:xfrm>
        <a:prstGeom prst="wedgeRoundRectCallout">
          <a:avLst>
            <a:gd name="adj1" fmla="val -33536"/>
            <a:gd name="adj2" fmla="val -6966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en-US" altLang="ja-JP" sz="1200">
              <a:solidFill>
                <a:sysClr val="windowText" lastClr="000000"/>
              </a:solidFill>
              <a:latin typeface="+mn-ea"/>
              <a:ea typeface="+mn-ea"/>
            </a:rPr>
            <a:t>6</a:t>
          </a:r>
          <a:r>
            <a:rPr kumimoji="1" lang="ja-JP" altLang="en-US" sz="1200">
              <a:solidFill>
                <a:sysClr val="windowText" lastClr="000000"/>
              </a:solidFill>
              <a:latin typeface="+mn-ea"/>
              <a:ea typeface="+mn-ea"/>
            </a:rPr>
            <a:t>（給与支給総額）</a:t>
          </a:r>
          <a:r>
            <a:rPr kumimoji="1" lang="en-US" altLang="ja-JP" sz="1200">
              <a:solidFill>
                <a:sysClr val="windowText" lastClr="000000"/>
              </a:solidFill>
              <a:latin typeface="+mn-ea"/>
              <a:ea typeface="+mn-ea"/>
            </a:rPr>
            <a:t>-9</a:t>
          </a:r>
          <a:r>
            <a:rPr kumimoji="1" lang="ja-JP" altLang="en-US" sz="1200">
              <a:solidFill>
                <a:sysClr val="windowText" lastClr="000000"/>
              </a:solidFill>
              <a:latin typeface="+mn-ea"/>
              <a:ea typeface="+mn-ea"/>
            </a:rPr>
            <a:t>（役員数）の入力内容に応じて、補助事業１人当たり給与支給総額の年平均上昇率が計算されます。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従業員、役員ともに基準率を上回る計画を設定してください。</a:t>
          </a:r>
          <a:endParaRPr kumimoji="1" lang="en-US" altLang="ja-JP" sz="1200">
            <a:solidFill>
              <a:sysClr val="windowText" lastClr="000000"/>
            </a:solidFill>
            <a:latin typeface="+mn-ea"/>
            <a:ea typeface="+mn-ea"/>
          </a:endParaRPr>
        </a:p>
      </xdr:txBody>
    </xdr:sp>
    <xdr:clientData/>
  </xdr:twoCellAnchor>
  <xdr:twoCellAnchor>
    <xdr:from>
      <xdr:col>6</xdr:col>
      <xdr:colOff>91360</xdr:colOff>
      <xdr:row>120</xdr:row>
      <xdr:rowOff>273972</xdr:rowOff>
    </xdr:from>
    <xdr:to>
      <xdr:col>10</xdr:col>
      <xdr:colOff>354717</xdr:colOff>
      <xdr:row>122</xdr:row>
      <xdr:rowOff>184218</xdr:rowOff>
    </xdr:to>
    <xdr:sp macro="" textlink="">
      <xdr:nvSpPr>
        <xdr:cNvPr id="78" name="四角形: 角を丸くする 77">
          <a:extLst>
            <a:ext uri="{FF2B5EF4-FFF2-40B4-BE49-F238E27FC236}">
              <a16:creationId xmlns:a16="http://schemas.microsoft.com/office/drawing/2014/main" id="{94C861E4-7756-4EAC-A1DD-9166CC7E37B7}"/>
            </a:ext>
          </a:extLst>
        </xdr:cNvPr>
        <xdr:cNvSpPr/>
      </xdr:nvSpPr>
      <xdr:spPr>
        <a:xfrm>
          <a:off x="9702951" y="37750517"/>
          <a:ext cx="5043175" cy="637610"/>
        </a:xfrm>
        <a:prstGeom prst="roundRect">
          <a:avLst>
            <a:gd name="adj" fmla="val 999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補助事業に係る従業員、役員がいない場合は、</a:t>
          </a:r>
          <a:r>
            <a:rPr kumimoji="1" lang="en-US" altLang="ja-JP" sz="1200">
              <a:solidFill>
                <a:sysClr val="windowText" lastClr="000000"/>
              </a:solidFill>
              <a:latin typeface="+mn-ea"/>
              <a:ea typeface="+mn-ea"/>
            </a:rPr>
            <a:t>0</a:t>
          </a:r>
          <a:r>
            <a:rPr kumimoji="1" lang="ja-JP" altLang="en-US" sz="1200">
              <a:solidFill>
                <a:sysClr val="windowText" lastClr="000000"/>
              </a:solidFill>
              <a:latin typeface="+mn-ea"/>
              <a:ea typeface="+mn-ea"/>
            </a:rPr>
            <a:t>を入力してください。</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※2~47</a:t>
          </a:r>
          <a:r>
            <a:rPr kumimoji="1" lang="ja-JP" altLang="en-US" sz="1200">
              <a:solidFill>
                <a:sysClr val="windowText" lastClr="000000"/>
              </a:solidFill>
              <a:latin typeface="+mn-ea"/>
              <a:ea typeface="+mn-ea"/>
            </a:rPr>
            <a:t>拠点目も同様</a:t>
          </a:r>
          <a:endParaRPr kumimoji="1" lang="en-US" altLang="ja-JP" sz="1200">
            <a:solidFill>
              <a:sysClr val="windowText" lastClr="000000"/>
            </a:solidFill>
            <a:latin typeface="+mn-ea"/>
            <a:ea typeface="+mn-ea"/>
          </a:endParaRPr>
        </a:p>
      </xdr:txBody>
    </xdr:sp>
    <xdr:clientData/>
  </xdr:twoCellAnchor>
  <xdr:twoCellAnchor>
    <xdr:from>
      <xdr:col>3</xdr:col>
      <xdr:colOff>259772</xdr:colOff>
      <xdr:row>130</xdr:row>
      <xdr:rowOff>172484</xdr:rowOff>
    </xdr:from>
    <xdr:to>
      <xdr:col>5</xdr:col>
      <xdr:colOff>1981005</xdr:colOff>
      <xdr:row>145</xdr:row>
      <xdr:rowOff>53382</xdr:rowOff>
    </xdr:to>
    <xdr:sp macro="" textlink="">
      <xdr:nvSpPr>
        <xdr:cNvPr id="79" name="四角形: 角を丸くする 78">
          <a:extLst>
            <a:ext uri="{FF2B5EF4-FFF2-40B4-BE49-F238E27FC236}">
              <a16:creationId xmlns:a16="http://schemas.microsoft.com/office/drawing/2014/main" id="{C9228230-DCB6-40DA-B73B-1D9D4B9097DD}"/>
            </a:ext>
          </a:extLst>
        </xdr:cNvPr>
        <xdr:cNvSpPr/>
      </xdr:nvSpPr>
      <xdr:spPr>
        <a:xfrm>
          <a:off x="1281545" y="40904848"/>
          <a:ext cx="7921142" cy="3881398"/>
        </a:xfrm>
        <a:prstGeom prst="roundRect">
          <a:avLst>
            <a:gd name="adj" fmla="val 3995"/>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7-2</a:t>
          </a:r>
          <a:r>
            <a:rPr kumimoji="1" lang="en-US" altLang="ja-JP" sz="1200" baseline="0">
              <a:solidFill>
                <a:sysClr val="windowText" lastClr="000000"/>
              </a:solidFill>
              <a:latin typeface="+mn-ea"/>
              <a:ea typeface="+mn-ea"/>
            </a:rPr>
            <a:t> </a:t>
          </a:r>
          <a:r>
            <a:rPr kumimoji="1" lang="ja-JP" altLang="en-US" sz="1200">
              <a:solidFill>
                <a:sysClr val="windowText" lastClr="000000"/>
              </a:solidFill>
              <a:latin typeface="+mn-ea"/>
              <a:ea typeface="+mn-ea"/>
            </a:rPr>
            <a:t>項で都道府県を選択していない場合は、　　　　　　　です。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※2~47</a:t>
          </a:r>
          <a:r>
            <a:rPr kumimoji="1" lang="ja-JP" altLang="en-US" sz="1200">
              <a:solidFill>
                <a:sysClr val="windowText" lastClr="000000"/>
              </a:solidFill>
              <a:latin typeface="+mn-ea"/>
              <a:ea typeface="+mn-ea"/>
            </a:rPr>
            <a:t>拠点目共通</a:t>
          </a:r>
          <a:endParaRPr kumimoji="1" lang="en-US" altLang="ja-JP" sz="1200">
            <a:solidFill>
              <a:sysClr val="windowText" lastClr="000000"/>
            </a:solidFill>
            <a:latin typeface="+mn-ea"/>
            <a:ea typeface="+mn-ea"/>
          </a:endParaRPr>
        </a:p>
      </xdr:txBody>
    </xdr:sp>
    <xdr:clientData/>
  </xdr:twoCellAnchor>
  <xdr:twoCellAnchor>
    <xdr:from>
      <xdr:col>4</xdr:col>
      <xdr:colOff>2888961</xdr:colOff>
      <xdr:row>135</xdr:row>
      <xdr:rowOff>68575</xdr:rowOff>
    </xdr:from>
    <xdr:to>
      <xdr:col>4</xdr:col>
      <xdr:colOff>3973633</xdr:colOff>
      <xdr:row>136</xdr:row>
      <xdr:rowOff>95279</xdr:rowOff>
    </xdr:to>
    <xdr:sp macro="" textlink="">
      <xdr:nvSpPr>
        <xdr:cNvPr id="86" name="テキスト ボックス 85">
          <a:extLst>
            <a:ext uri="{FF2B5EF4-FFF2-40B4-BE49-F238E27FC236}">
              <a16:creationId xmlns:a16="http://schemas.microsoft.com/office/drawing/2014/main" id="{E2A58E90-6F44-47CD-B9EA-1977223ACD55}"/>
            </a:ext>
          </a:extLst>
        </xdr:cNvPr>
        <xdr:cNvSpPr txBox="1"/>
      </xdr:nvSpPr>
      <xdr:spPr>
        <a:xfrm>
          <a:off x="4326370" y="42550075"/>
          <a:ext cx="1084672" cy="25184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clientData/>
  </xdr:twoCellAnchor>
  <xdr:twoCellAnchor>
    <xdr:from>
      <xdr:col>2</xdr:col>
      <xdr:colOff>0</xdr:colOff>
      <xdr:row>968</xdr:row>
      <xdr:rowOff>256021</xdr:rowOff>
    </xdr:from>
    <xdr:to>
      <xdr:col>5</xdr:col>
      <xdr:colOff>2010790</xdr:colOff>
      <xdr:row>969</xdr:row>
      <xdr:rowOff>224848</xdr:rowOff>
    </xdr:to>
    <xdr:sp macro="" textlink="">
      <xdr:nvSpPr>
        <xdr:cNvPr id="87" name="四角形: 角を丸くする 86">
          <a:extLst>
            <a:ext uri="{FF2B5EF4-FFF2-40B4-BE49-F238E27FC236}">
              <a16:creationId xmlns:a16="http://schemas.microsoft.com/office/drawing/2014/main" id="{675DFE68-5705-4524-B4BD-0B3808D2D89B}"/>
            </a:ext>
          </a:extLst>
        </xdr:cNvPr>
        <xdr:cNvSpPr/>
      </xdr:nvSpPr>
      <xdr:spPr>
        <a:xfrm>
          <a:off x="727364" y="113205203"/>
          <a:ext cx="8505108" cy="228600"/>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4</xdr:col>
      <xdr:colOff>1165439</xdr:colOff>
      <xdr:row>966</xdr:row>
      <xdr:rowOff>207819</xdr:rowOff>
    </xdr:from>
    <xdr:to>
      <xdr:col>4</xdr:col>
      <xdr:colOff>1872739</xdr:colOff>
      <xdr:row>968</xdr:row>
      <xdr:rowOff>80701</xdr:rowOff>
    </xdr:to>
    <xdr:sp macro="" textlink="">
      <xdr:nvSpPr>
        <xdr:cNvPr id="88" name="吹き出し: 角を丸めた四角形 87">
          <a:extLst>
            <a:ext uri="{FF2B5EF4-FFF2-40B4-BE49-F238E27FC236}">
              <a16:creationId xmlns:a16="http://schemas.microsoft.com/office/drawing/2014/main" id="{687AFB76-7419-4E3A-8863-E65D17AC4420}"/>
            </a:ext>
          </a:extLst>
        </xdr:cNvPr>
        <xdr:cNvSpPr/>
      </xdr:nvSpPr>
      <xdr:spPr>
        <a:xfrm>
          <a:off x="2602848" y="112706728"/>
          <a:ext cx="707300" cy="323155"/>
        </a:xfrm>
        <a:prstGeom prst="wedgeRoundRectCallout">
          <a:avLst>
            <a:gd name="adj1" fmla="val -33632"/>
            <a:gd name="adj2" fmla="val 7324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6</xdr:col>
      <xdr:colOff>1141970</xdr:colOff>
      <xdr:row>970</xdr:row>
      <xdr:rowOff>391599</xdr:rowOff>
    </xdr:from>
    <xdr:to>
      <xdr:col>9</xdr:col>
      <xdr:colOff>702881</xdr:colOff>
      <xdr:row>973</xdr:row>
      <xdr:rowOff>115392</xdr:rowOff>
    </xdr:to>
    <xdr:sp macro="" textlink="">
      <xdr:nvSpPr>
        <xdr:cNvPr id="89" name="四角形: 角を丸くする 88">
          <a:extLst>
            <a:ext uri="{FF2B5EF4-FFF2-40B4-BE49-F238E27FC236}">
              <a16:creationId xmlns:a16="http://schemas.microsoft.com/office/drawing/2014/main" id="{1FF70EC8-7964-43CE-AFCE-DECB2F7C5F5E}"/>
            </a:ext>
          </a:extLst>
        </xdr:cNvPr>
        <xdr:cNvSpPr/>
      </xdr:nvSpPr>
      <xdr:spPr>
        <a:xfrm>
          <a:off x="10753561" y="113825690"/>
          <a:ext cx="3145775" cy="849475"/>
        </a:xfrm>
        <a:prstGeom prst="roundRect">
          <a:avLst>
            <a:gd name="adj" fmla="val 0"/>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1,2,5,6,11</a:t>
          </a:r>
          <a:r>
            <a:rPr kumimoji="1" lang="ja-JP" altLang="en-US" sz="1200">
              <a:solidFill>
                <a:sysClr val="windowText" lastClr="000000"/>
              </a:solidFill>
              <a:latin typeface="+mn-ea"/>
              <a:ea typeface="+mn-ea"/>
            </a:rPr>
            <a:t>は、③経費明細書シートで入力した内容を基にチェックされます。</a:t>
          </a:r>
          <a:endParaRPr kumimoji="1" lang="en-US" altLang="ja-JP" sz="1200">
            <a:solidFill>
              <a:sysClr val="windowText" lastClr="000000"/>
            </a:solidFill>
            <a:latin typeface="+mn-ea"/>
            <a:ea typeface="+mn-ea"/>
          </a:endParaRPr>
        </a:p>
      </xdr:txBody>
    </xdr:sp>
    <xdr:clientData/>
  </xdr:twoCellAnchor>
  <xdr:twoCellAnchor>
    <xdr:from>
      <xdr:col>10</xdr:col>
      <xdr:colOff>248929</xdr:colOff>
      <xdr:row>974</xdr:row>
      <xdr:rowOff>220864</xdr:rowOff>
    </xdr:from>
    <xdr:to>
      <xdr:col>12</xdr:col>
      <xdr:colOff>327145</xdr:colOff>
      <xdr:row>975</xdr:row>
      <xdr:rowOff>319212</xdr:rowOff>
    </xdr:to>
    <xdr:sp macro="" textlink="">
      <xdr:nvSpPr>
        <xdr:cNvPr id="90" name="吹き出し: 角を丸めた四角形 89">
          <a:extLst>
            <a:ext uri="{FF2B5EF4-FFF2-40B4-BE49-F238E27FC236}">
              <a16:creationId xmlns:a16="http://schemas.microsoft.com/office/drawing/2014/main" id="{CB0BD9AE-5FFC-4BE9-BBC3-48C04F3F178E}"/>
            </a:ext>
          </a:extLst>
        </xdr:cNvPr>
        <xdr:cNvSpPr/>
      </xdr:nvSpPr>
      <xdr:spPr>
        <a:xfrm>
          <a:off x="14640338" y="115230909"/>
          <a:ext cx="2468125" cy="548621"/>
        </a:xfrm>
        <a:prstGeom prst="wedgeRoundRectCallout">
          <a:avLst>
            <a:gd name="adj1" fmla="val -55390"/>
            <a:gd name="adj2" fmla="val 4844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補助事業の実施拠点毎のチェック結果を表示しています。</a:t>
          </a:r>
          <a:endParaRPr kumimoji="1" lang="en-US" altLang="ja-JP" sz="1200">
            <a:solidFill>
              <a:sysClr val="windowText" lastClr="000000"/>
            </a:solidFill>
            <a:latin typeface="+mn-ea"/>
            <a:ea typeface="+mn-ea"/>
          </a:endParaRPr>
        </a:p>
      </xdr:txBody>
    </xdr:sp>
    <xdr:clientData/>
  </xdr:twoCellAnchor>
  <xdr:twoCellAnchor>
    <xdr:from>
      <xdr:col>6</xdr:col>
      <xdr:colOff>1142837</xdr:colOff>
      <xdr:row>975</xdr:row>
      <xdr:rowOff>426535</xdr:rowOff>
    </xdr:from>
    <xdr:to>
      <xdr:col>16</xdr:col>
      <xdr:colOff>1153102</xdr:colOff>
      <xdr:row>986</xdr:row>
      <xdr:rowOff>36584</xdr:rowOff>
    </xdr:to>
    <xdr:sp macro="" textlink="">
      <xdr:nvSpPr>
        <xdr:cNvPr id="91" name="四角形: 角を丸くする 90">
          <a:extLst>
            <a:ext uri="{FF2B5EF4-FFF2-40B4-BE49-F238E27FC236}">
              <a16:creationId xmlns:a16="http://schemas.microsoft.com/office/drawing/2014/main" id="{E592D0F6-663F-4561-A4C1-96E02D6FEE77}"/>
            </a:ext>
          </a:extLst>
        </xdr:cNvPr>
        <xdr:cNvSpPr/>
      </xdr:nvSpPr>
      <xdr:spPr>
        <a:xfrm>
          <a:off x="10754428" y="115886853"/>
          <a:ext cx="11959810" cy="2311686"/>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17</xdr:col>
      <xdr:colOff>111123</xdr:colOff>
      <xdr:row>984</xdr:row>
      <xdr:rowOff>207818</xdr:rowOff>
    </xdr:from>
    <xdr:to>
      <xdr:col>19</xdr:col>
      <xdr:colOff>857893</xdr:colOff>
      <xdr:row>987</xdr:row>
      <xdr:rowOff>85794</xdr:rowOff>
    </xdr:to>
    <xdr:sp macro="" textlink="">
      <xdr:nvSpPr>
        <xdr:cNvPr id="92" name="吹き出し: 角を丸めた四角形 91">
          <a:extLst>
            <a:ext uri="{FF2B5EF4-FFF2-40B4-BE49-F238E27FC236}">
              <a16:creationId xmlns:a16="http://schemas.microsoft.com/office/drawing/2014/main" id="{2B9D4B39-B564-40B3-8B78-877A76BDFFD6}"/>
            </a:ext>
          </a:extLst>
        </xdr:cNvPr>
        <xdr:cNvSpPr/>
      </xdr:nvSpPr>
      <xdr:spPr>
        <a:xfrm>
          <a:off x="22867214" y="117919500"/>
          <a:ext cx="2859588" cy="553385"/>
        </a:xfrm>
        <a:prstGeom prst="wedgeRoundRectCallout">
          <a:avLst>
            <a:gd name="adj1" fmla="val -58697"/>
            <a:gd name="adj2" fmla="val -5242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7-1,7-2</a:t>
          </a:r>
          <a:r>
            <a:rPr kumimoji="1" lang="ja-JP" altLang="en-US" sz="1200">
              <a:solidFill>
                <a:sysClr val="windowText" lastClr="000000"/>
              </a:solidFill>
              <a:latin typeface="+mn-ea"/>
              <a:ea typeface="+mn-ea"/>
            </a:rPr>
            <a:t>項で選択した全ての拠点で要件を満たす必要があります。</a:t>
          </a:r>
          <a:endParaRPr kumimoji="1" lang="en-US" altLang="ja-JP" sz="1200">
            <a:solidFill>
              <a:sysClr val="windowText" lastClr="000000"/>
            </a:solidFill>
            <a:latin typeface="+mn-ea"/>
            <a:ea typeface="+mn-ea"/>
          </a:endParaRPr>
        </a:p>
      </xdr:txBody>
    </xdr:sp>
    <xdr:clientData/>
  </xdr:twoCellAnchor>
  <xdr:twoCellAnchor>
    <xdr:from>
      <xdr:col>6</xdr:col>
      <xdr:colOff>1160318</xdr:colOff>
      <xdr:row>986</xdr:row>
      <xdr:rowOff>42769</xdr:rowOff>
    </xdr:from>
    <xdr:to>
      <xdr:col>16</xdr:col>
      <xdr:colOff>1173758</xdr:colOff>
      <xdr:row>996</xdr:row>
      <xdr:rowOff>89908</xdr:rowOff>
    </xdr:to>
    <xdr:sp macro="" textlink="">
      <xdr:nvSpPr>
        <xdr:cNvPr id="93" name="四角形: 角を丸くする 92">
          <a:extLst>
            <a:ext uri="{FF2B5EF4-FFF2-40B4-BE49-F238E27FC236}">
              <a16:creationId xmlns:a16="http://schemas.microsoft.com/office/drawing/2014/main" id="{F3A6C321-815C-4CB3-95A0-443E211EA95A}"/>
            </a:ext>
          </a:extLst>
        </xdr:cNvPr>
        <xdr:cNvSpPr/>
      </xdr:nvSpPr>
      <xdr:spPr>
        <a:xfrm>
          <a:off x="10771909" y="118204724"/>
          <a:ext cx="11962985" cy="2298502"/>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6</xdr:col>
      <xdr:colOff>1166668</xdr:colOff>
      <xdr:row>996</xdr:row>
      <xdr:rowOff>97141</xdr:rowOff>
    </xdr:from>
    <xdr:to>
      <xdr:col>16</xdr:col>
      <xdr:colOff>1173758</xdr:colOff>
      <xdr:row>1006</xdr:row>
      <xdr:rowOff>147454</xdr:rowOff>
    </xdr:to>
    <xdr:sp macro="" textlink="">
      <xdr:nvSpPr>
        <xdr:cNvPr id="94" name="四角形: 角を丸くする 93">
          <a:extLst>
            <a:ext uri="{FF2B5EF4-FFF2-40B4-BE49-F238E27FC236}">
              <a16:creationId xmlns:a16="http://schemas.microsoft.com/office/drawing/2014/main" id="{019A27A2-2A01-4108-915A-7984B2017D4E}"/>
            </a:ext>
          </a:extLst>
        </xdr:cNvPr>
        <xdr:cNvSpPr/>
      </xdr:nvSpPr>
      <xdr:spPr>
        <a:xfrm>
          <a:off x="10778259" y="120510459"/>
          <a:ext cx="11956635" cy="2301677"/>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6</xdr:col>
      <xdr:colOff>1160318</xdr:colOff>
      <xdr:row>1007</xdr:row>
      <xdr:rowOff>389256</xdr:rowOff>
    </xdr:from>
    <xdr:to>
      <xdr:col>16</xdr:col>
      <xdr:colOff>1170583</xdr:colOff>
      <xdr:row>1017</xdr:row>
      <xdr:rowOff>219453</xdr:rowOff>
    </xdr:to>
    <xdr:sp macro="" textlink="">
      <xdr:nvSpPr>
        <xdr:cNvPr id="95" name="四角形: 角を丸くする 94">
          <a:extLst>
            <a:ext uri="{FF2B5EF4-FFF2-40B4-BE49-F238E27FC236}">
              <a16:creationId xmlns:a16="http://schemas.microsoft.com/office/drawing/2014/main" id="{1944AC85-68AE-41F7-9F93-0B4FC03588C6}"/>
            </a:ext>
          </a:extLst>
        </xdr:cNvPr>
        <xdr:cNvSpPr/>
      </xdr:nvSpPr>
      <xdr:spPr>
        <a:xfrm>
          <a:off x="10771909" y="123504211"/>
          <a:ext cx="11959810" cy="2306697"/>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6</xdr:col>
      <xdr:colOff>1169843</xdr:colOff>
      <xdr:row>1018</xdr:row>
      <xdr:rowOff>9344</xdr:rowOff>
    </xdr:from>
    <xdr:to>
      <xdr:col>16</xdr:col>
      <xdr:colOff>1170583</xdr:colOff>
      <xdr:row>1028</xdr:row>
      <xdr:rowOff>48771</xdr:rowOff>
    </xdr:to>
    <xdr:sp macro="" textlink="">
      <xdr:nvSpPr>
        <xdr:cNvPr id="96" name="四角形: 角を丸くする 95">
          <a:extLst>
            <a:ext uri="{FF2B5EF4-FFF2-40B4-BE49-F238E27FC236}">
              <a16:creationId xmlns:a16="http://schemas.microsoft.com/office/drawing/2014/main" id="{6DFA387B-2288-4FEB-B407-FBD8E67B93D7}"/>
            </a:ext>
          </a:extLst>
        </xdr:cNvPr>
        <xdr:cNvSpPr/>
      </xdr:nvSpPr>
      <xdr:spPr>
        <a:xfrm>
          <a:off x="10781434" y="125825935"/>
          <a:ext cx="11950285" cy="2290791"/>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1</xdr:col>
      <xdr:colOff>277090</xdr:colOff>
      <xdr:row>1029</xdr:row>
      <xdr:rowOff>256310</xdr:rowOff>
    </xdr:from>
    <xdr:to>
      <xdr:col>7</xdr:col>
      <xdr:colOff>177800</xdr:colOff>
      <xdr:row>1030</xdr:row>
      <xdr:rowOff>202913</xdr:rowOff>
    </xdr:to>
    <xdr:sp macro="" textlink="">
      <xdr:nvSpPr>
        <xdr:cNvPr id="97" name="四角形: 角を丸くする 96">
          <a:extLst>
            <a:ext uri="{FF2B5EF4-FFF2-40B4-BE49-F238E27FC236}">
              <a16:creationId xmlns:a16="http://schemas.microsoft.com/office/drawing/2014/main" id="{F713A279-515F-40A1-9205-102CC45C9F8A}"/>
            </a:ext>
          </a:extLst>
        </xdr:cNvPr>
        <xdr:cNvSpPr/>
      </xdr:nvSpPr>
      <xdr:spPr>
        <a:xfrm>
          <a:off x="710045" y="128549401"/>
          <a:ext cx="10274300" cy="206376"/>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4</xdr:col>
      <xdr:colOff>836970</xdr:colOff>
      <xdr:row>1027</xdr:row>
      <xdr:rowOff>173183</xdr:rowOff>
    </xdr:from>
    <xdr:to>
      <xdr:col>4</xdr:col>
      <xdr:colOff>1547445</xdr:colOff>
      <xdr:row>1029</xdr:row>
      <xdr:rowOff>65457</xdr:rowOff>
    </xdr:to>
    <xdr:sp macro="" textlink="">
      <xdr:nvSpPr>
        <xdr:cNvPr id="98" name="吹き出し: 角を丸めた四角形 97">
          <a:extLst>
            <a:ext uri="{FF2B5EF4-FFF2-40B4-BE49-F238E27FC236}">
              <a16:creationId xmlns:a16="http://schemas.microsoft.com/office/drawing/2014/main" id="{EC0F5ED9-FE82-4109-B08E-BCC4AFE9101D}"/>
            </a:ext>
          </a:extLst>
        </xdr:cNvPr>
        <xdr:cNvSpPr/>
      </xdr:nvSpPr>
      <xdr:spPr>
        <a:xfrm>
          <a:off x="2274379" y="128016001"/>
          <a:ext cx="710475" cy="342547"/>
        </a:xfrm>
        <a:prstGeom prst="wedgeRoundRectCallout">
          <a:avLst>
            <a:gd name="adj1" fmla="val -33632"/>
            <a:gd name="adj2" fmla="val 7324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12</xdr:col>
      <xdr:colOff>884521</xdr:colOff>
      <xdr:row>17</xdr:row>
      <xdr:rowOff>148912</xdr:rowOff>
    </xdr:from>
    <xdr:to>
      <xdr:col>13</xdr:col>
      <xdr:colOff>427348</xdr:colOff>
      <xdr:row>17</xdr:row>
      <xdr:rowOff>290072</xdr:rowOff>
    </xdr:to>
    <xdr:sp macro="" textlink="">
      <xdr:nvSpPr>
        <xdr:cNvPr id="99" name="正方形/長方形 98">
          <a:extLst>
            <a:ext uri="{FF2B5EF4-FFF2-40B4-BE49-F238E27FC236}">
              <a16:creationId xmlns:a16="http://schemas.microsoft.com/office/drawing/2014/main" id="{18E18D82-F3D8-463A-B4FB-D3F044EEE428}"/>
            </a:ext>
          </a:extLst>
        </xdr:cNvPr>
        <xdr:cNvSpPr/>
      </xdr:nvSpPr>
      <xdr:spPr>
        <a:xfrm>
          <a:off x="17665839" y="4097457"/>
          <a:ext cx="737782" cy="141160"/>
        </a:xfrm>
        <a:prstGeom prst="rect">
          <a:avLst/>
        </a:prstGeom>
        <a:solidFill>
          <a:schemeClr val="accent1">
            <a:lumMod val="60000"/>
            <a:lumOff val="4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369319</xdr:colOff>
      <xdr:row>19</xdr:row>
      <xdr:rowOff>321584</xdr:rowOff>
    </xdr:from>
    <xdr:to>
      <xdr:col>13</xdr:col>
      <xdr:colOff>1098634</xdr:colOff>
      <xdr:row>20</xdr:row>
      <xdr:rowOff>113879</xdr:rowOff>
    </xdr:to>
    <xdr:sp macro="" textlink="">
      <xdr:nvSpPr>
        <xdr:cNvPr id="100" name="正方形/長方形 99">
          <a:extLst>
            <a:ext uri="{FF2B5EF4-FFF2-40B4-BE49-F238E27FC236}">
              <a16:creationId xmlns:a16="http://schemas.microsoft.com/office/drawing/2014/main" id="{2B08DFBD-EA15-43A1-99E1-6B205F81FDB0}"/>
            </a:ext>
          </a:extLst>
        </xdr:cNvPr>
        <xdr:cNvSpPr/>
      </xdr:nvSpPr>
      <xdr:spPr>
        <a:xfrm>
          <a:off x="18345592" y="4997493"/>
          <a:ext cx="729315" cy="155977"/>
        </a:xfrm>
        <a:prstGeom prst="rect">
          <a:avLst/>
        </a:prstGeom>
        <a:solidFill>
          <a:schemeClr val="accent1">
            <a:lumMod val="60000"/>
            <a:lumOff val="4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2887756</xdr:colOff>
      <xdr:row>56</xdr:row>
      <xdr:rowOff>307417</xdr:rowOff>
    </xdr:from>
    <xdr:to>
      <xdr:col>8</xdr:col>
      <xdr:colOff>152541</xdr:colOff>
      <xdr:row>65</xdr:row>
      <xdr:rowOff>326840</xdr:rowOff>
    </xdr:to>
    <xdr:sp macro="" textlink="">
      <xdr:nvSpPr>
        <xdr:cNvPr id="130" name="吹き出し: 角を丸めた四角形 38">
          <a:extLst>
            <a:ext uri="{FF2B5EF4-FFF2-40B4-BE49-F238E27FC236}">
              <a16:creationId xmlns:a16="http://schemas.microsoft.com/office/drawing/2014/main" id="{CA1FBFE8-C627-165D-24FC-D834DF7526FF}"/>
            </a:ext>
          </a:extLst>
        </xdr:cNvPr>
        <xdr:cNvSpPr/>
      </xdr:nvSpPr>
      <xdr:spPr>
        <a:xfrm>
          <a:off x="4310903" y="17441211"/>
          <a:ext cx="7820726" cy="2764864"/>
        </a:xfrm>
        <a:prstGeom prst="wedgeRoundRectCallout">
          <a:avLst>
            <a:gd name="adj1" fmla="val -26043"/>
            <a:gd name="adj2" fmla="val 62290"/>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様式</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に誤記があり、正しくは以下となります。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正に沿って選択してください。</a:t>
          </a:r>
          <a:endParaRPr kumimoji="1" lang="en-US" altLang="ja-JP" sz="1200">
            <a:solidFill>
              <a:sysClr val="windowText" lastClr="000000"/>
            </a:solidFill>
            <a:latin typeface="+mn-ea"/>
            <a:ea typeface="+mn-ea"/>
          </a:endParaRPr>
        </a:p>
        <a:p>
          <a:pPr algn="l"/>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誤：</a:t>
          </a:r>
          <a:endParaRPr kumimoji="1" lang="en-US" altLang="ja-JP" sz="1200">
            <a:solidFill>
              <a:sysClr val="windowText" lastClr="000000"/>
            </a:solidFill>
            <a:latin typeface="+mn-ea"/>
            <a:ea typeface="+mn-ea"/>
          </a:endParaRPr>
        </a:p>
        <a:p>
          <a:pPr algn="l"/>
          <a:r>
            <a:rPr kumimoji="1" lang="ja-JP" altLang="en-US" sz="1200" strike="sngStrike" baseline="0">
              <a:solidFill>
                <a:sysClr val="windowText" lastClr="000000"/>
              </a:solidFill>
              <a:latin typeface="+mn-ea"/>
              <a:ea typeface="+mn-ea"/>
            </a:rPr>
            <a:t>女性活躍推進法</a:t>
          </a:r>
          <a:r>
            <a:rPr kumimoji="1" lang="ja-JP" altLang="en-US" sz="1200" strike="noStrike" baseline="0">
              <a:solidFill>
                <a:sysClr val="windowText" lastClr="000000"/>
              </a:solidFill>
              <a:latin typeface="+mn-ea"/>
              <a:ea typeface="+mn-ea"/>
            </a:rPr>
            <a:t>に基づく一般事業主行動計画</a:t>
          </a:r>
          <a:r>
            <a:rPr kumimoji="1" lang="ja-JP" altLang="en-US" sz="1200">
              <a:solidFill>
                <a:sysClr val="windowText" lastClr="000000"/>
              </a:solidFill>
              <a:latin typeface="+mn-ea"/>
              <a:ea typeface="+mn-ea"/>
            </a:rPr>
            <a:t>を公表している企業あるいはくるみん認定企業</a:t>
          </a:r>
          <a:endParaRPr kumimoji="1" lang="en-US" altLang="ja-JP" sz="1200">
            <a:solidFill>
              <a:sysClr val="windowText" lastClr="000000"/>
            </a:solidFill>
            <a:latin typeface="+mn-ea"/>
            <a:ea typeface="+mn-ea"/>
          </a:endParaRPr>
        </a:p>
        <a:p>
          <a:pPr algn="l"/>
          <a:r>
            <a:rPr kumimoji="1" lang="ja-JP" altLang="en-US" sz="1200" strike="sngStrike" baseline="0">
              <a:solidFill>
                <a:sysClr val="windowText" lastClr="000000"/>
              </a:solidFill>
              <a:latin typeface="+mn-ea"/>
              <a:ea typeface="+mn-ea"/>
            </a:rPr>
            <a:t>次世代育成支援対策推進法</a:t>
          </a:r>
          <a:r>
            <a:rPr kumimoji="1" lang="ja-JP" altLang="en-US" sz="1200" strike="noStrike" baseline="0">
              <a:solidFill>
                <a:sysClr val="windowText" lastClr="000000"/>
              </a:solidFill>
              <a:latin typeface="+mn-ea"/>
              <a:ea typeface="+mn-ea"/>
            </a:rPr>
            <a:t>に基づく一般事業主行動計画</a:t>
          </a:r>
          <a:r>
            <a:rPr kumimoji="1" lang="ja-JP" altLang="en-US" sz="1200">
              <a:solidFill>
                <a:sysClr val="windowText" lastClr="000000"/>
              </a:solidFill>
              <a:latin typeface="+mn-ea"/>
              <a:ea typeface="+mn-ea"/>
            </a:rPr>
            <a:t>を公表している企業あるいはえるぼし認定企業</a:t>
          </a:r>
          <a:endParaRPr kumimoji="1" lang="en-US" altLang="ja-JP" sz="1200">
            <a:solidFill>
              <a:sysClr val="windowText" lastClr="000000"/>
            </a:solidFill>
            <a:latin typeface="+mn-ea"/>
            <a:ea typeface="+mn-ea"/>
          </a:endParaRPr>
        </a:p>
        <a:p>
          <a:pPr algn="l"/>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正：</a:t>
          </a:r>
          <a:endParaRPr kumimoji="1" lang="en-US" altLang="ja-JP" sz="1200">
            <a:solidFill>
              <a:sysClr val="windowText" lastClr="000000"/>
            </a:solidFill>
            <a:latin typeface="+mn-ea"/>
            <a:ea typeface="+mn-ea"/>
          </a:endParaRPr>
        </a:p>
        <a:p>
          <a:r>
            <a:rPr kumimoji="1" lang="ja-JP" altLang="ja-JP" sz="1200" b="1">
              <a:solidFill>
                <a:sysClr val="windowText" lastClr="000000"/>
              </a:solidFill>
              <a:effectLst/>
              <a:latin typeface="+mn-lt"/>
              <a:ea typeface="+mn-ea"/>
              <a:cs typeface="+mn-cs"/>
            </a:rPr>
            <a:t>次世代育成支援対策推進法</a:t>
          </a:r>
          <a:r>
            <a:rPr kumimoji="1" lang="ja-JP" altLang="ja-JP" sz="1200" b="0">
              <a:solidFill>
                <a:sysClr val="windowText" lastClr="000000"/>
              </a:solidFill>
              <a:effectLst/>
              <a:latin typeface="+mn-lt"/>
              <a:ea typeface="+mn-ea"/>
              <a:cs typeface="+mn-cs"/>
            </a:rPr>
            <a:t>に基づく一般事業主行動計画</a:t>
          </a:r>
          <a:r>
            <a:rPr kumimoji="1" lang="ja-JP" altLang="ja-JP" sz="1200">
              <a:solidFill>
                <a:sysClr val="windowText" lastClr="000000"/>
              </a:solidFill>
              <a:effectLst/>
              <a:latin typeface="+mn-lt"/>
              <a:ea typeface="+mn-ea"/>
              <a:cs typeface="+mn-cs"/>
            </a:rPr>
            <a:t>を公表している企業あるいはくるみん認定企業</a:t>
          </a:r>
          <a:endParaRPr lang="ja-JP" altLang="ja-JP" sz="1200">
            <a:solidFill>
              <a:sysClr val="windowText" lastClr="000000"/>
            </a:solidFill>
            <a:effectLst/>
          </a:endParaRPr>
        </a:p>
        <a:p>
          <a:r>
            <a:rPr kumimoji="1" lang="ja-JP" altLang="ja-JP" sz="1200" b="1">
              <a:solidFill>
                <a:sysClr val="windowText" lastClr="000000"/>
              </a:solidFill>
              <a:effectLst/>
              <a:latin typeface="+mn-lt"/>
              <a:ea typeface="+mn-ea"/>
              <a:cs typeface="+mn-cs"/>
            </a:rPr>
            <a:t>女性活躍推進法</a:t>
          </a:r>
          <a:r>
            <a:rPr kumimoji="1" lang="ja-JP" altLang="ja-JP" sz="1200" b="0">
              <a:solidFill>
                <a:sysClr val="windowText" lastClr="000000"/>
              </a:solidFill>
              <a:effectLst/>
              <a:latin typeface="+mn-lt"/>
              <a:ea typeface="+mn-ea"/>
              <a:cs typeface="+mn-cs"/>
            </a:rPr>
            <a:t>に基づく一般事業主行動計画</a:t>
          </a:r>
          <a:r>
            <a:rPr kumimoji="1" lang="ja-JP" altLang="ja-JP" sz="1200">
              <a:solidFill>
                <a:sysClr val="windowText" lastClr="000000"/>
              </a:solidFill>
              <a:effectLst/>
              <a:latin typeface="+mn-lt"/>
              <a:ea typeface="+mn-ea"/>
              <a:cs typeface="+mn-cs"/>
            </a:rPr>
            <a:t>を公表している企業あるいはえるぼし認定企業</a:t>
          </a:r>
          <a:endParaRPr lang="ja-JP" altLang="ja-JP" sz="1200">
            <a:solidFill>
              <a:sysClr val="windowText" lastClr="000000"/>
            </a:solidFill>
            <a:effectLst/>
          </a:endParaRPr>
        </a:p>
      </xdr:txBody>
    </xdr:sp>
    <xdr:clientData/>
  </xdr:twoCellAnchor>
  <xdr:twoCellAnchor>
    <xdr:from>
      <xdr:col>4</xdr:col>
      <xdr:colOff>2996866</xdr:colOff>
      <xdr:row>1010</xdr:row>
      <xdr:rowOff>134327</xdr:rowOff>
    </xdr:from>
    <xdr:to>
      <xdr:col>5</xdr:col>
      <xdr:colOff>1741521</xdr:colOff>
      <xdr:row>1014</xdr:row>
      <xdr:rowOff>175973</xdr:rowOff>
    </xdr:to>
    <xdr:sp macro="" textlink="">
      <xdr:nvSpPr>
        <xdr:cNvPr id="126" name="吹き出し: 角を丸めた四角形 46">
          <a:extLst>
            <a:ext uri="{FF2B5EF4-FFF2-40B4-BE49-F238E27FC236}">
              <a16:creationId xmlns:a16="http://schemas.microsoft.com/office/drawing/2014/main" id="{B33DACFC-63B5-4B22-8876-D5B8728BCBFB}"/>
            </a:ext>
          </a:extLst>
        </xdr:cNvPr>
        <xdr:cNvSpPr/>
      </xdr:nvSpPr>
      <xdr:spPr>
        <a:xfrm>
          <a:off x="4401193" y="127402981"/>
          <a:ext cx="4532924" cy="1018569"/>
        </a:xfrm>
        <a:prstGeom prst="wedgeRoundRectCallout">
          <a:avLst>
            <a:gd name="adj1" fmla="val 67442"/>
            <a:gd name="adj2" fmla="val -93983"/>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lang="en-US" altLang="ja-JP" sz="1200">
            <a:solidFill>
              <a:sysClr val="windowText" lastClr="000000"/>
            </a:solidFill>
            <a:effectLst/>
          </a:endParaRPr>
        </a:p>
      </xdr:txBody>
    </xdr:sp>
    <xdr:clientData/>
  </xdr:twoCellAnchor>
  <xdr:twoCellAnchor>
    <xdr:from>
      <xdr:col>4</xdr:col>
      <xdr:colOff>2996866</xdr:colOff>
      <xdr:row>1010</xdr:row>
      <xdr:rowOff>109904</xdr:rowOff>
    </xdr:from>
    <xdr:to>
      <xdr:col>5</xdr:col>
      <xdr:colOff>1741521</xdr:colOff>
      <xdr:row>1014</xdr:row>
      <xdr:rowOff>188184</xdr:rowOff>
    </xdr:to>
    <xdr:sp macro="" textlink="">
      <xdr:nvSpPr>
        <xdr:cNvPr id="127" name="吹き出し: 角を丸めた四角形 57">
          <a:extLst>
            <a:ext uri="{FF2B5EF4-FFF2-40B4-BE49-F238E27FC236}">
              <a16:creationId xmlns:a16="http://schemas.microsoft.com/office/drawing/2014/main" id="{5E24BD84-ADAF-95C2-F6BD-77EB4888EE71}"/>
            </a:ext>
          </a:extLst>
        </xdr:cNvPr>
        <xdr:cNvSpPr/>
      </xdr:nvSpPr>
      <xdr:spPr>
        <a:xfrm>
          <a:off x="4401193" y="127378558"/>
          <a:ext cx="4532924" cy="1055203"/>
        </a:xfrm>
        <a:prstGeom prst="wedgeRoundRectCallout">
          <a:avLst>
            <a:gd name="adj1" fmla="val 72561"/>
            <a:gd name="adj2" fmla="val 13567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lang="ja-JP" altLang="en-US" sz="1200">
              <a:solidFill>
                <a:sysClr val="windowText" lastClr="000000"/>
              </a:solidFill>
              <a:effectLst/>
            </a:rPr>
            <a:t>従業員や役員数がゼロの場合、非該当が入力されます。</a:t>
          </a:r>
          <a:endParaRPr lang="en-US" altLang="ja-JP" sz="1200">
            <a:solidFill>
              <a:sysClr val="windowText" lastClr="000000"/>
            </a:solidFill>
            <a:effectLst/>
          </a:endParaRPr>
        </a:p>
        <a:p>
          <a:pPr algn="l"/>
          <a:r>
            <a:rPr lang="ja-JP" altLang="en-US" sz="1200">
              <a:solidFill>
                <a:sysClr val="windowText" lastClr="000000"/>
              </a:solidFill>
              <a:effectLst/>
            </a:rPr>
            <a:t>他のエラーがなければ、</a:t>
          </a:r>
          <a:r>
            <a:rPr lang="en-US" altLang="ja-JP" sz="1200">
              <a:solidFill>
                <a:sysClr val="windowText" lastClr="000000"/>
              </a:solidFill>
              <a:effectLst/>
            </a:rPr>
            <a:t>C5</a:t>
          </a:r>
          <a:r>
            <a:rPr lang="ja-JP" altLang="en-US" sz="1200">
              <a:solidFill>
                <a:sysClr val="windowText" lastClr="000000"/>
              </a:solidFill>
              <a:effectLst/>
            </a:rPr>
            <a:t>のワーニングメッセージが出ていても提出いただくことが可能です。</a:t>
          </a:r>
          <a:endParaRPr lang="en-US" altLang="ja-JP" sz="1200">
            <a:solidFill>
              <a:sysClr val="windowText" lastClr="000000"/>
            </a:solidFill>
            <a:effectLst/>
          </a:endParaRPr>
        </a:p>
      </xdr:txBody>
    </xdr:sp>
    <xdr:clientData/>
  </xdr:twoCellAnchor>
  <xdr:twoCellAnchor>
    <xdr:from>
      <xdr:col>4</xdr:col>
      <xdr:colOff>2902511</xdr:colOff>
      <xdr:row>56</xdr:row>
      <xdr:rowOff>285379</xdr:rowOff>
    </xdr:from>
    <xdr:to>
      <xdr:col>8</xdr:col>
      <xdr:colOff>170471</xdr:colOff>
      <xdr:row>65</xdr:row>
      <xdr:rowOff>314327</xdr:rowOff>
    </xdr:to>
    <xdr:sp macro="" textlink="">
      <xdr:nvSpPr>
        <xdr:cNvPr id="131" name="吹き出し: 角を丸めた四角形 38">
          <a:extLst>
            <a:ext uri="{FF2B5EF4-FFF2-40B4-BE49-F238E27FC236}">
              <a16:creationId xmlns:a16="http://schemas.microsoft.com/office/drawing/2014/main" id="{7FE30FCE-222D-CD30-CA15-DB8B12990A30}"/>
            </a:ext>
          </a:extLst>
        </xdr:cNvPr>
        <xdr:cNvSpPr/>
      </xdr:nvSpPr>
      <xdr:spPr>
        <a:xfrm>
          <a:off x="4325658" y="17419173"/>
          <a:ext cx="7823901" cy="2774389"/>
        </a:xfrm>
        <a:prstGeom prst="wedgeRoundRectCallout">
          <a:avLst>
            <a:gd name="adj1" fmla="val -55977"/>
            <a:gd name="adj2" fmla="val 17291"/>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様式</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に誤記があり、正しくは以下となります。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正に沿って選択してください。</a:t>
          </a:r>
          <a:endParaRPr kumimoji="1" lang="en-US" altLang="ja-JP" sz="1200">
            <a:solidFill>
              <a:sysClr val="windowText" lastClr="000000"/>
            </a:solidFill>
            <a:latin typeface="+mn-ea"/>
            <a:ea typeface="+mn-ea"/>
          </a:endParaRPr>
        </a:p>
        <a:p>
          <a:pPr algn="l"/>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誤：</a:t>
          </a:r>
          <a:endParaRPr kumimoji="1" lang="en-US" altLang="ja-JP" sz="1200">
            <a:solidFill>
              <a:sysClr val="windowText" lastClr="000000"/>
            </a:solidFill>
            <a:latin typeface="+mn-ea"/>
            <a:ea typeface="+mn-ea"/>
          </a:endParaRPr>
        </a:p>
        <a:p>
          <a:pPr algn="l"/>
          <a:r>
            <a:rPr kumimoji="1" lang="ja-JP" altLang="en-US" sz="1200" strike="sngStrike" baseline="0">
              <a:solidFill>
                <a:sysClr val="windowText" lastClr="000000"/>
              </a:solidFill>
              <a:latin typeface="+mn-ea"/>
              <a:ea typeface="+mn-ea"/>
            </a:rPr>
            <a:t>女性活躍推進法</a:t>
          </a:r>
          <a:r>
            <a:rPr kumimoji="1" lang="ja-JP" altLang="en-US" sz="1200" strike="noStrike" baseline="0">
              <a:solidFill>
                <a:sysClr val="windowText" lastClr="000000"/>
              </a:solidFill>
              <a:latin typeface="+mn-ea"/>
              <a:ea typeface="+mn-ea"/>
            </a:rPr>
            <a:t>に基づく一般事業主行動計画</a:t>
          </a:r>
          <a:r>
            <a:rPr kumimoji="1" lang="ja-JP" altLang="en-US" sz="1200">
              <a:solidFill>
                <a:sysClr val="windowText" lastClr="000000"/>
              </a:solidFill>
              <a:latin typeface="+mn-ea"/>
              <a:ea typeface="+mn-ea"/>
            </a:rPr>
            <a:t>を公表している企業あるいはくるみん認定企業</a:t>
          </a:r>
          <a:endParaRPr kumimoji="1" lang="en-US" altLang="ja-JP" sz="1200">
            <a:solidFill>
              <a:sysClr val="windowText" lastClr="000000"/>
            </a:solidFill>
            <a:latin typeface="+mn-ea"/>
            <a:ea typeface="+mn-ea"/>
          </a:endParaRPr>
        </a:p>
        <a:p>
          <a:pPr algn="l"/>
          <a:r>
            <a:rPr kumimoji="1" lang="ja-JP" altLang="en-US" sz="1200" strike="sngStrike" baseline="0">
              <a:solidFill>
                <a:sysClr val="windowText" lastClr="000000"/>
              </a:solidFill>
              <a:latin typeface="+mn-ea"/>
              <a:ea typeface="+mn-ea"/>
            </a:rPr>
            <a:t>次世代育成支援対策推進法</a:t>
          </a:r>
          <a:r>
            <a:rPr kumimoji="1" lang="ja-JP" altLang="en-US" sz="1200" strike="noStrike" baseline="0">
              <a:solidFill>
                <a:sysClr val="windowText" lastClr="000000"/>
              </a:solidFill>
              <a:latin typeface="+mn-ea"/>
              <a:ea typeface="+mn-ea"/>
            </a:rPr>
            <a:t>に基づく一般事業主行動計画</a:t>
          </a:r>
          <a:r>
            <a:rPr kumimoji="1" lang="ja-JP" altLang="en-US" sz="1200">
              <a:solidFill>
                <a:sysClr val="windowText" lastClr="000000"/>
              </a:solidFill>
              <a:latin typeface="+mn-ea"/>
              <a:ea typeface="+mn-ea"/>
            </a:rPr>
            <a:t>を公表している企業あるいはえるぼし認定企業</a:t>
          </a:r>
          <a:endParaRPr kumimoji="1" lang="en-US" altLang="ja-JP" sz="1200">
            <a:solidFill>
              <a:sysClr val="windowText" lastClr="000000"/>
            </a:solidFill>
            <a:latin typeface="+mn-ea"/>
            <a:ea typeface="+mn-ea"/>
          </a:endParaRPr>
        </a:p>
        <a:p>
          <a:pPr algn="l"/>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正：</a:t>
          </a:r>
          <a:endParaRPr kumimoji="1" lang="en-US" altLang="ja-JP" sz="1200">
            <a:solidFill>
              <a:sysClr val="windowText" lastClr="000000"/>
            </a:solidFill>
            <a:latin typeface="+mn-ea"/>
            <a:ea typeface="+mn-ea"/>
          </a:endParaRPr>
        </a:p>
        <a:p>
          <a:r>
            <a:rPr kumimoji="1" lang="ja-JP" altLang="ja-JP" sz="1200" b="1">
              <a:solidFill>
                <a:sysClr val="windowText" lastClr="000000"/>
              </a:solidFill>
              <a:effectLst/>
              <a:latin typeface="+mn-lt"/>
              <a:ea typeface="+mn-ea"/>
              <a:cs typeface="+mn-cs"/>
            </a:rPr>
            <a:t>次世代育成支援対策推進法</a:t>
          </a:r>
          <a:r>
            <a:rPr kumimoji="1" lang="ja-JP" altLang="ja-JP" sz="1200" b="0">
              <a:solidFill>
                <a:sysClr val="windowText" lastClr="000000"/>
              </a:solidFill>
              <a:effectLst/>
              <a:latin typeface="+mn-lt"/>
              <a:ea typeface="+mn-ea"/>
              <a:cs typeface="+mn-cs"/>
            </a:rPr>
            <a:t>に基づく一般事業主行動計画</a:t>
          </a:r>
          <a:r>
            <a:rPr kumimoji="1" lang="ja-JP" altLang="ja-JP" sz="1200">
              <a:solidFill>
                <a:sysClr val="windowText" lastClr="000000"/>
              </a:solidFill>
              <a:effectLst/>
              <a:latin typeface="+mn-lt"/>
              <a:ea typeface="+mn-ea"/>
              <a:cs typeface="+mn-cs"/>
            </a:rPr>
            <a:t>を公表している企業あるいはくるみん認定企業</a:t>
          </a:r>
          <a:endParaRPr lang="ja-JP" altLang="ja-JP" sz="1200">
            <a:solidFill>
              <a:sysClr val="windowText" lastClr="000000"/>
            </a:solidFill>
            <a:effectLst/>
          </a:endParaRPr>
        </a:p>
        <a:p>
          <a:r>
            <a:rPr kumimoji="1" lang="ja-JP" altLang="ja-JP" sz="1200" b="1">
              <a:solidFill>
                <a:sysClr val="windowText" lastClr="000000"/>
              </a:solidFill>
              <a:effectLst/>
              <a:latin typeface="+mn-lt"/>
              <a:ea typeface="+mn-ea"/>
              <a:cs typeface="+mn-cs"/>
            </a:rPr>
            <a:t>女性活躍推進法</a:t>
          </a:r>
          <a:r>
            <a:rPr kumimoji="1" lang="ja-JP" altLang="ja-JP" sz="1200" b="0">
              <a:solidFill>
                <a:sysClr val="windowText" lastClr="000000"/>
              </a:solidFill>
              <a:effectLst/>
              <a:latin typeface="+mn-lt"/>
              <a:ea typeface="+mn-ea"/>
              <a:cs typeface="+mn-cs"/>
            </a:rPr>
            <a:t>に基づく一般事業主行動計画</a:t>
          </a:r>
          <a:r>
            <a:rPr kumimoji="1" lang="ja-JP" altLang="ja-JP" sz="1200">
              <a:solidFill>
                <a:sysClr val="windowText" lastClr="000000"/>
              </a:solidFill>
              <a:effectLst/>
              <a:latin typeface="+mn-lt"/>
              <a:ea typeface="+mn-ea"/>
              <a:cs typeface="+mn-cs"/>
            </a:rPr>
            <a:t>を公表している企業あるいはえるぼし認定企業</a:t>
          </a:r>
          <a:endParaRPr lang="ja-JP" altLang="ja-JP" sz="1200">
            <a:solidFill>
              <a:sysClr val="windowText" lastClr="000000"/>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44823</xdr:colOff>
      <xdr:row>2</xdr:row>
      <xdr:rowOff>268942</xdr:rowOff>
    </xdr:from>
    <xdr:to>
      <xdr:col>3</xdr:col>
      <xdr:colOff>1217292</xdr:colOff>
      <xdr:row>3</xdr:row>
      <xdr:rowOff>182383</xdr:rowOff>
    </xdr:to>
    <xdr:grpSp>
      <xdr:nvGrpSpPr>
        <xdr:cNvPr id="2" name="グループ化 1">
          <a:extLst>
            <a:ext uri="{FF2B5EF4-FFF2-40B4-BE49-F238E27FC236}">
              <a16:creationId xmlns:a16="http://schemas.microsoft.com/office/drawing/2014/main" id="{0396539F-4CF3-40A1-B6BC-F0FB3546979C}"/>
            </a:ext>
          </a:extLst>
        </xdr:cNvPr>
        <xdr:cNvGrpSpPr/>
      </xdr:nvGrpSpPr>
      <xdr:grpSpPr>
        <a:xfrm>
          <a:off x="616323" y="548342"/>
          <a:ext cx="2601219" cy="199191"/>
          <a:chOff x="10186146" y="579822"/>
          <a:chExt cx="2606822" cy="216000"/>
        </a:xfrm>
      </xdr:grpSpPr>
      <xdr:sp macro="" textlink="">
        <xdr:nvSpPr>
          <xdr:cNvPr id="3" name="テキスト ボックス 2">
            <a:extLst>
              <a:ext uri="{FF2B5EF4-FFF2-40B4-BE49-F238E27FC236}">
                <a16:creationId xmlns:a16="http://schemas.microsoft.com/office/drawing/2014/main" id="{D9F0B62D-D79F-172A-A356-9219F15E8127}"/>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28B4BF38-388A-5C49-4D27-EF8BC2291519}"/>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9</xdr:col>
      <xdr:colOff>2431676</xdr:colOff>
      <xdr:row>7</xdr:row>
      <xdr:rowOff>201706</xdr:rowOff>
    </xdr:from>
    <xdr:to>
      <xdr:col>9</xdr:col>
      <xdr:colOff>6461435</xdr:colOff>
      <xdr:row>9</xdr:row>
      <xdr:rowOff>160818</xdr:rowOff>
    </xdr:to>
    <xdr:grpSp>
      <xdr:nvGrpSpPr>
        <xdr:cNvPr id="5" name="グループ化 4">
          <a:extLst>
            <a:ext uri="{FF2B5EF4-FFF2-40B4-BE49-F238E27FC236}">
              <a16:creationId xmlns:a16="http://schemas.microsoft.com/office/drawing/2014/main" id="{FCD98B7E-24BC-4A4D-87B2-DB412E13A637}"/>
            </a:ext>
          </a:extLst>
        </xdr:cNvPr>
        <xdr:cNvGrpSpPr/>
      </xdr:nvGrpSpPr>
      <xdr:grpSpPr>
        <a:xfrm>
          <a:off x="15893676" y="1655856"/>
          <a:ext cx="4029759" cy="416312"/>
          <a:chOff x="9429751" y="685800"/>
          <a:chExt cx="4032000" cy="432000"/>
        </a:xfrm>
      </xdr:grpSpPr>
      <xdr:sp macro="" textlink="">
        <xdr:nvSpPr>
          <xdr:cNvPr id="6" name="テキスト ボックス 5">
            <a:extLst>
              <a:ext uri="{FF2B5EF4-FFF2-40B4-BE49-F238E27FC236}">
                <a16:creationId xmlns:a16="http://schemas.microsoft.com/office/drawing/2014/main" id="{BDCA623E-640D-683C-582B-B30116C453E7}"/>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F3FBC1F6-9C52-85E6-DB2A-004E384B432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524102A0-FA83-7010-DC42-D2CD853BFE5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DA81CC46-50CA-005F-EE1D-E9087B65872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3D573A4B-01A0-32CF-B934-B87857CDCB3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9</xdr:col>
      <xdr:colOff>5042647</xdr:colOff>
      <xdr:row>0</xdr:row>
      <xdr:rowOff>11206</xdr:rowOff>
    </xdr:from>
    <xdr:to>
      <xdr:col>10</xdr:col>
      <xdr:colOff>5647</xdr:colOff>
      <xdr:row>2</xdr:row>
      <xdr:rowOff>163059</xdr:rowOff>
    </xdr:to>
    <xdr:sp macro="" textlink="">
      <xdr:nvSpPr>
        <xdr:cNvPr id="11" name="正方形/長方形 1">
          <a:extLst>
            <a:ext uri="{FF2B5EF4-FFF2-40B4-BE49-F238E27FC236}">
              <a16:creationId xmlns:a16="http://schemas.microsoft.com/office/drawing/2014/main" id="{691B13EB-955E-4E5E-BE16-E24A20DC84DA}"/>
            </a:ext>
          </a:extLst>
        </xdr:cNvPr>
        <xdr:cNvSpPr/>
      </xdr:nvSpPr>
      <xdr:spPr>
        <a:xfrm flipH="1">
          <a:off x="18504647" y="11206"/>
          <a:ext cx="1440000" cy="431253"/>
        </a:xfrm>
        <a:prstGeom prst="rect">
          <a:avLst/>
        </a:prstGeom>
        <a:solidFill>
          <a:srgbClr val="002060"/>
        </a:solidFill>
        <a:ln w="9525" cap="rnd"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0" rIns="72000" bIns="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marL="0" indent="0" algn="ctr" defTabSz="742950" rtl="0" eaLnBrk="1" latinLnBrk="0" hangingPunct="1"/>
          <a:r>
            <a:rPr kumimoji="1" lang="en-US" altLang="ja-JP" sz="1800" kern="1200">
              <a:solidFill>
                <a:schemeClr val="bg1"/>
              </a:solidFill>
              <a:latin typeface="Meiryo UI" panose="020B0604030504040204" pitchFamily="50" charset="-128"/>
              <a:ea typeface="Meiryo UI" panose="020B0604030504040204" pitchFamily="50" charset="-128"/>
              <a:cs typeface="+mn-cs"/>
            </a:rPr>
            <a:t>3</a:t>
          </a:r>
          <a:r>
            <a:rPr kumimoji="1" lang="ja-JP" altLang="en-US" sz="1800" kern="1200">
              <a:solidFill>
                <a:schemeClr val="bg1"/>
              </a:solidFill>
              <a:latin typeface="Meiryo UI" panose="020B0604030504040204" pitchFamily="50" charset="-128"/>
              <a:ea typeface="Meiryo UI" panose="020B0604030504040204" pitchFamily="50" charset="-128"/>
              <a:cs typeface="+mn-cs"/>
            </a:rPr>
            <a:t>次公募用</a:t>
          </a:r>
          <a:endParaRPr kumimoji="1" lang="en-US" altLang="ja-JP" sz="1800" kern="1200">
            <a:solidFill>
              <a:schemeClr val="bg1"/>
            </a:solidFill>
            <a:latin typeface="Meiryo UI" panose="020B0604030504040204" pitchFamily="50" charset="-128"/>
            <a:ea typeface="Meiryo UI" panose="020B0604030504040204" pitchFamily="50" charset="-128"/>
            <a:cs typeface="+mn-cs"/>
          </a:endParaRPr>
        </a:p>
      </xdr:txBody>
    </xdr:sp>
    <xdr:clientData/>
  </xdr:twoCellAnchor>
  <xdr:twoCellAnchor>
    <xdr:from>
      <xdr:col>2</xdr:col>
      <xdr:colOff>50800</xdr:colOff>
      <xdr:row>4</xdr:row>
      <xdr:rowOff>20946</xdr:rowOff>
    </xdr:from>
    <xdr:to>
      <xdr:col>8</xdr:col>
      <xdr:colOff>1173228</xdr:colOff>
      <xdr:row>9</xdr:row>
      <xdr:rowOff>202998</xdr:rowOff>
    </xdr:to>
    <xdr:sp macro="" textlink="">
      <xdr:nvSpPr>
        <xdr:cNvPr id="12" name="四角形: 角を丸くする 11">
          <a:extLst>
            <a:ext uri="{FF2B5EF4-FFF2-40B4-BE49-F238E27FC236}">
              <a16:creationId xmlns:a16="http://schemas.microsoft.com/office/drawing/2014/main" id="{7C995FCC-0E0B-428C-B2A1-4F14F206B875}"/>
            </a:ext>
          </a:extLst>
        </xdr:cNvPr>
        <xdr:cNvSpPr/>
      </xdr:nvSpPr>
      <xdr:spPr>
        <a:xfrm>
          <a:off x="609600" y="782946"/>
          <a:ext cx="12222228" cy="1325052"/>
        </a:xfrm>
        <a:prstGeom prst="roundRect">
          <a:avLst>
            <a:gd name="adj" fmla="val 10898"/>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3</xdr:col>
      <xdr:colOff>1249196</xdr:colOff>
      <xdr:row>2</xdr:row>
      <xdr:rowOff>25564</xdr:rowOff>
    </xdr:from>
    <xdr:to>
      <xdr:col>4</xdr:col>
      <xdr:colOff>465271</xdr:colOff>
      <xdr:row>3</xdr:row>
      <xdr:rowOff>105485</xdr:rowOff>
    </xdr:to>
    <xdr:sp macro="" textlink="">
      <xdr:nvSpPr>
        <xdr:cNvPr id="13" name="吹き出し: 角を丸めた四角形 12">
          <a:extLst>
            <a:ext uri="{FF2B5EF4-FFF2-40B4-BE49-F238E27FC236}">
              <a16:creationId xmlns:a16="http://schemas.microsoft.com/office/drawing/2014/main" id="{42AFB882-D9A0-4715-A22C-E4F5E51DE0DF}"/>
            </a:ext>
          </a:extLst>
        </xdr:cNvPr>
        <xdr:cNvSpPr/>
      </xdr:nvSpPr>
      <xdr:spPr>
        <a:xfrm>
          <a:off x="3230396" y="304964"/>
          <a:ext cx="638475" cy="359321"/>
        </a:xfrm>
        <a:prstGeom prst="wedgeRoundRectCallout">
          <a:avLst>
            <a:gd name="adj1" fmla="val -17809"/>
            <a:gd name="adj2" fmla="val 8396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2</xdr:col>
      <xdr:colOff>1417383</xdr:colOff>
      <xdr:row>10</xdr:row>
      <xdr:rowOff>125470</xdr:rowOff>
    </xdr:from>
    <xdr:to>
      <xdr:col>4</xdr:col>
      <xdr:colOff>413338</xdr:colOff>
      <xdr:row>13</xdr:row>
      <xdr:rowOff>206073</xdr:rowOff>
    </xdr:to>
    <xdr:sp macro="" textlink="">
      <xdr:nvSpPr>
        <xdr:cNvPr id="14" name="吹き出し: 角を丸めた四角形 13">
          <a:extLst>
            <a:ext uri="{FF2B5EF4-FFF2-40B4-BE49-F238E27FC236}">
              <a16:creationId xmlns:a16="http://schemas.microsoft.com/office/drawing/2014/main" id="{1BF4D0B6-4B08-4F72-B693-FA5BE083BCF9}"/>
            </a:ext>
          </a:extLst>
        </xdr:cNvPr>
        <xdr:cNvSpPr/>
      </xdr:nvSpPr>
      <xdr:spPr>
        <a:xfrm>
          <a:off x="1976183" y="2259070"/>
          <a:ext cx="1840755" cy="791803"/>
        </a:xfrm>
        <a:prstGeom prst="wedgeRoundRectCallout">
          <a:avLst>
            <a:gd name="adj1" fmla="val 35495"/>
            <a:gd name="adj2" fmla="val 75161"/>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b="1">
              <a:solidFill>
                <a:sysClr val="windowText" lastClr="000000"/>
              </a:solidFill>
              <a:latin typeface="+mn-ea"/>
              <a:ea typeface="+mn-ea"/>
            </a:rPr>
            <a:t>注意</a:t>
          </a:r>
          <a:endParaRPr kumimoji="1" lang="en-US" altLang="ja-JP" sz="1200" b="1">
            <a:solidFill>
              <a:sysClr val="windowText" lastClr="000000"/>
            </a:solidFill>
            <a:latin typeface="+mn-ea"/>
            <a:ea typeface="+mn-ea"/>
          </a:endParaRPr>
        </a:p>
        <a:p>
          <a:pPr algn="l"/>
          <a:r>
            <a:rPr kumimoji="1" lang="ja-JP" altLang="en-US" sz="1200">
              <a:solidFill>
                <a:sysClr val="windowText" lastClr="000000"/>
              </a:solidFill>
              <a:latin typeface="+mn-ea"/>
              <a:ea typeface="+mn-ea"/>
            </a:rPr>
            <a:t>年毎に事業期間の開始・終了月が異なります。</a:t>
          </a:r>
          <a:endParaRPr kumimoji="1" lang="en-US" altLang="ja-JP" sz="1200">
            <a:solidFill>
              <a:sysClr val="windowText" lastClr="000000"/>
            </a:solidFill>
            <a:latin typeface="+mn-ea"/>
            <a:ea typeface="+mn-ea"/>
          </a:endParaRPr>
        </a:p>
      </xdr:txBody>
    </xdr:sp>
    <xdr:clientData/>
  </xdr:twoCellAnchor>
  <xdr:twoCellAnchor>
    <xdr:from>
      <xdr:col>5</xdr:col>
      <xdr:colOff>130628</xdr:colOff>
      <xdr:row>14</xdr:row>
      <xdr:rowOff>114102</xdr:rowOff>
    </xdr:from>
    <xdr:to>
      <xdr:col>5</xdr:col>
      <xdr:colOff>1576978</xdr:colOff>
      <xdr:row>15</xdr:row>
      <xdr:rowOff>320979</xdr:rowOff>
    </xdr:to>
    <xdr:sp macro="" textlink="">
      <xdr:nvSpPr>
        <xdr:cNvPr id="15" name="吹き出し: 角を丸めた四角形 14">
          <a:extLst>
            <a:ext uri="{FF2B5EF4-FFF2-40B4-BE49-F238E27FC236}">
              <a16:creationId xmlns:a16="http://schemas.microsoft.com/office/drawing/2014/main" id="{37D0D273-75E6-42E6-A6A1-E48783A85287}"/>
            </a:ext>
          </a:extLst>
        </xdr:cNvPr>
        <xdr:cNvSpPr/>
      </xdr:nvSpPr>
      <xdr:spPr>
        <a:xfrm>
          <a:off x="6379028" y="3416102"/>
          <a:ext cx="1446350" cy="587877"/>
        </a:xfrm>
        <a:prstGeom prst="wedgeRoundRectCallout">
          <a:avLst>
            <a:gd name="adj1" fmla="val -6826"/>
            <a:gd name="adj2" fmla="val -74703"/>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補助対象外の経費も含まれます。</a:t>
          </a:r>
          <a:endParaRPr kumimoji="1" lang="en-US" altLang="ja-JP" sz="1200">
            <a:solidFill>
              <a:sysClr val="windowText" lastClr="000000"/>
            </a:solidFill>
            <a:latin typeface="+mn-ea"/>
            <a:ea typeface="+mn-ea"/>
          </a:endParaRPr>
        </a:p>
      </xdr:txBody>
    </xdr:sp>
    <xdr:clientData/>
  </xdr:twoCellAnchor>
  <xdr:twoCellAnchor>
    <xdr:from>
      <xdr:col>9</xdr:col>
      <xdr:colOff>303670</xdr:colOff>
      <xdr:row>14</xdr:row>
      <xdr:rowOff>114102</xdr:rowOff>
    </xdr:from>
    <xdr:to>
      <xdr:col>9</xdr:col>
      <xdr:colOff>3553195</xdr:colOff>
      <xdr:row>15</xdr:row>
      <xdr:rowOff>320979</xdr:rowOff>
    </xdr:to>
    <xdr:sp macro="" textlink="">
      <xdr:nvSpPr>
        <xdr:cNvPr id="16" name="吹き出し: 角を丸めた四角形 15">
          <a:extLst>
            <a:ext uri="{FF2B5EF4-FFF2-40B4-BE49-F238E27FC236}">
              <a16:creationId xmlns:a16="http://schemas.microsoft.com/office/drawing/2014/main" id="{BD51F3FB-4C36-4F2F-BB3B-AD282D1FD1AB}"/>
            </a:ext>
          </a:extLst>
        </xdr:cNvPr>
        <xdr:cNvSpPr/>
      </xdr:nvSpPr>
      <xdr:spPr>
        <a:xfrm>
          <a:off x="13765670" y="3416102"/>
          <a:ext cx="3249525" cy="587877"/>
        </a:xfrm>
        <a:prstGeom prst="wedgeRoundRectCallout">
          <a:avLst>
            <a:gd name="adj1" fmla="val -32680"/>
            <a:gd name="adj2" fmla="val -6974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1,000</a:t>
          </a:r>
          <a:r>
            <a:rPr kumimoji="1" lang="ja-JP" altLang="en-US" sz="1200">
              <a:solidFill>
                <a:sysClr val="windowText" lastClr="000000"/>
              </a:solidFill>
              <a:latin typeface="+mn-ea"/>
              <a:ea typeface="+mn-ea"/>
            </a:rPr>
            <a:t>万円以上若しくは下限を</a:t>
          </a:r>
          <a:r>
            <a:rPr kumimoji="1" lang="en-US" altLang="ja-JP" sz="1200">
              <a:solidFill>
                <a:sysClr val="windowText" lastClr="000000"/>
              </a:solidFill>
              <a:latin typeface="+mn-ea"/>
              <a:ea typeface="+mn-ea"/>
            </a:rPr>
            <a:t>100</a:t>
          </a:r>
          <a:r>
            <a:rPr kumimoji="1" lang="ja-JP" altLang="en-US" sz="1200">
              <a:solidFill>
                <a:sysClr val="windowText" lastClr="000000"/>
              </a:solidFill>
              <a:latin typeface="+mn-ea"/>
              <a:ea typeface="+mn-ea"/>
            </a:rPr>
            <a:t>万円として上位</a:t>
          </a:r>
          <a:r>
            <a:rPr kumimoji="1" lang="en-US" altLang="ja-JP" sz="1200">
              <a:solidFill>
                <a:sysClr val="windowText" lastClr="000000"/>
              </a:solidFill>
              <a:latin typeface="+mn-ea"/>
              <a:ea typeface="+mn-ea"/>
            </a:rPr>
            <a:t>10</a:t>
          </a:r>
          <a:r>
            <a:rPr kumimoji="1" lang="ja-JP" altLang="en-US" sz="1200">
              <a:solidFill>
                <a:sysClr val="windowText" lastClr="000000"/>
              </a:solidFill>
              <a:latin typeface="+mn-ea"/>
              <a:ea typeface="+mn-ea"/>
            </a:rPr>
            <a:t>品目程度を入力してください。</a:t>
          </a:r>
          <a:endParaRPr kumimoji="1" lang="en-US" altLang="ja-JP" sz="1200">
            <a:solidFill>
              <a:sysClr val="windowText" lastClr="000000"/>
            </a:solidFill>
            <a:latin typeface="+mn-ea"/>
            <a:ea typeface="+mn-ea"/>
          </a:endParaRPr>
        </a:p>
      </xdr:txBody>
    </xdr:sp>
    <xdr:clientData/>
  </xdr:twoCellAnchor>
  <xdr:twoCellAnchor>
    <xdr:from>
      <xdr:col>6</xdr:col>
      <xdr:colOff>1759612</xdr:colOff>
      <xdr:row>14</xdr:row>
      <xdr:rowOff>114102</xdr:rowOff>
    </xdr:from>
    <xdr:to>
      <xdr:col>7</xdr:col>
      <xdr:colOff>1637821</xdr:colOff>
      <xdr:row>19</xdr:row>
      <xdr:rowOff>72937</xdr:rowOff>
    </xdr:to>
    <xdr:sp macro="" textlink="">
      <xdr:nvSpPr>
        <xdr:cNvPr id="17" name="吹き出し: 角を丸めた四角形 16">
          <a:extLst>
            <a:ext uri="{FF2B5EF4-FFF2-40B4-BE49-F238E27FC236}">
              <a16:creationId xmlns:a16="http://schemas.microsoft.com/office/drawing/2014/main" id="{B716D46E-5AE5-4254-833F-A260A4E57DAF}"/>
            </a:ext>
          </a:extLst>
        </xdr:cNvPr>
        <xdr:cNvSpPr/>
      </xdr:nvSpPr>
      <xdr:spPr>
        <a:xfrm>
          <a:off x="9811412" y="3416102"/>
          <a:ext cx="1681609" cy="1863835"/>
        </a:xfrm>
        <a:prstGeom prst="wedgeRoundRectCallout">
          <a:avLst>
            <a:gd name="adj1" fmla="val -8261"/>
            <a:gd name="adj2" fmla="val -61041"/>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50</a:t>
          </a:r>
          <a:r>
            <a:rPr kumimoji="1" lang="ja-JP" altLang="en-US" sz="1200">
              <a:solidFill>
                <a:sysClr val="windowText" lastClr="000000"/>
              </a:solidFill>
              <a:latin typeface="+mn-ea"/>
              <a:ea typeface="+mn-ea"/>
            </a:rPr>
            <a:t>億円以内、かつ（</a:t>
          </a:r>
          <a:r>
            <a:rPr kumimoji="1" lang="en-US" altLang="ja-JP" sz="1200">
              <a:solidFill>
                <a:sysClr val="windowText" lastClr="000000"/>
              </a:solidFill>
              <a:latin typeface="+mn-ea"/>
              <a:ea typeface="+mn-ea"/>
            </a:rPr>
            <a:t>B</a:t>
          </a:r>
          <a:r>
            <a:rPr kumimoji="1" lang="ja-JP" altLang="en-US" sz="1200">
              <a:solidFill>
                <a:sysClr val="windowText" lastClr="000000"/>
              </a:solidFill>
              <a:latin typeface="+mn-ea"/>
              <a:ea typeface="+mn-ea"/>
            </a:rPr>
            <a:t>）補助対象経費の</a:t>
          </a:r>
          <a:r>
            <a:rPr kumimoji="1" lang="en-US" altLang="ja-JP" sz="1200">
              <a:solidFill>
                <a:sysClr val="windowText" lastClr="000000"/>
              </a:solidFill>
              <a:latin typeface="+mn-ea"/>
              <a:ea typeface="+mn-ea"/>
            </a:rPr>
            <a:t>1/3</a:t>
          </a:r>
          <a:r>
            <a:rPr kumimoji="1" lang="ja-JP" altLang="en-US" sz="1200">
              <a:solidFill>
                <a:sysClr val="windowText" lastClr="000000"/>
              </a:solidFill>
              <a:latin typeface="+mn-ea"/>
              <a:ea typeface="+mn-ea"/>
            </a:rPr>
            <a:t>以内が要件です。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・補助対象外の申請者（大企業等）は入力不要です。</a:t>
          </a:r>
        </a:p>
      </xdr:txBody>
    </xdr:sp>
    <xdr:clientData/>
  </xdr:twoCellAnchor>
  <xdr:twoCellAnchor>
    <xdr:from>
      <xdr:col>9</xdr:col>
      <xdr:colOff>1447904</xdr:colOff>
      <xdr:row>10</xdr:row>
      <xdr:rowOff>42759</xdr:rowOff>
    </xdr:from>
    <xdr:to>
      <xdr:col>9</xdr:col>
      <xdr:colOff>3165488</xdr:colOff>
      <xdr:row>13</xdr:row>
      <xdr:rowOff>77849</xdr:rowOff>
    </xdr:to>
    <xdr:sp macro="" textlink="">
      <xdr:nvSpPr>
        <xdr:cNvPr id="18" name="吹き出し: 角を丸めた四角形 17">
          <a:extLst>
            <a:ext uri="{FF2B5EF4-FFF2-40B4-BE49-F238E27FC236}">
              <a16:creationId xmlns:a16="http://schemas.microsoft.com/office/drawing/2014/main" id="{30A2A82F-9BB9-4EC1-AD5E-FBD996A249BE}"/>
            </a:ext>
          </a:extLst>
        </xdr:cNvPr>
        <xdr:cNvSpPr/>
      </xdr:nvSpPr>
      <xdr:spPr>
        <a:xfrm>
          <a:off x="14909904" y="2176359"/>
          <a:ext cx="1717584" cy="746290"/>
        </a:xfrm>
        <a:prstGeom prst="wedgeRoundRectCallout">
          <a:avLst>
            <a:gd name="adj1" fmla="val -134399"/>
            <a:gd name="adj2" fmla="val 2071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①申請者情報シートで入力した内容が反映されます。</a:t>
          </a:r>
          <a:endParaRPr kumimoji="1" lang="en-US" altLang="ja-JP" sz="1200">
            <a:solidFill>
              <a:sysClr val="windowText" lastClr="000000"/>
            </a:solidFill>
            <a:latin typeface="+mn-ea"/>
            <a:ea typeface="+mn-ea"/>
          </a:endParaRPr>
        </a:p>
      </xdr:txBody>
    </xdr:sp>
    <xdr:clientData/>
  </xdr:twoCellAnchor>
  <xdr:twoCellAnchor>
    <xdr:from>
      <xdr:col>5</xdr:col>
      <xdr:colOff>416378</xdr:colOff>
      <xdr:row>19</xdr:row>
      <xdr:rowOff>364793</xdr:rowOff>
    </xdr:from>
    <xdr:to>
      <xdr:col>9</xdr:col>
      <xdr:colOff>2141723</xdr:colOff>
      <xdr:row>32</xdr:row>
      <xdr:rowOff>140662</xdr:rowOff>
    </xdr:to>
    <xdr:sp macro="" textlink="">
      <xdr:nvSpPr>
        <xdr:cNvPr id="19" name="四角形: 角を丸くする 18">
          <a:extLst>
            <a:ext uri="{FF2B5EF4-FFF2-40B4-BE49-F238E27FC236}">
              <a16:creationId xmlns:a16="http://schemas.microsoft.com/office/drawing/2014/main" id="{F8B3C897-820E-467B-8144-91CCD34A43C3}"/>
            </a:ext>
          </a:extLst>
        </xdr:cNvPr>
        <xdr:cNvSpPr/>
      </xdr:nvSpPr>
      <xdr:spPr>
        <a:xfrm>
          <a:off x="6664778" y="5571793"/>
          <a:ext cx="8938945" cy="4728869"/>
        </a:xfrm>
        <a:prstGeom prst="roundRect">
          <a:avLst>
            <a:gd name="adj" fmla="val 3995"/>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②補助事業情報シートで入力した補助事業完了日に応じて、補助事業</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年目、</a:t>
          </a:r>
          <a:r>
            <a:rPr kumimoji="1" lang="en-US" altLang="ja-JP" sz="1200">
              <a:solidFill>
                <a:sysClr val="windowText" lastClr="000000"/>
              </a:solidFill>
              <a:latin typeface="+mn-ea"/>
              <a:ea typeface="+mn-ea"/>
            </a:rPr>
            <a:t>3</a:t>
          </a:r>
          <a:r>
            <a:rPr kumimoji="1" lang="ja-JP" altLang="en-US" sz="1200">
              <a:solidFill>
                <a:sysClr val="windowText" lastClr="000000"/>
              </a:solidFill>
              <a:latin typeface="+mn-ea"/>
              <a:ea typeface="+mn-ea"/>
            </a:rPr>
            <a:t>年目は　　　　　　　　になります。　</a:t>
          </a:r>
          <a:endParaRPr kumimoji="1" lang="en-US" altLang="ja-JP" sz="1200">
            <a:solidFill>
              <a:sysClr val="windowText" lastClr="000000"/>
            </a:solidFill>
            <a:latin typeface="+mn-ea"/>
            <a:ea typeface="+mn-ea"/>
          </a:endParaRPr>
        </a:p>
      </xdr:txBody>
    </xdr:sp>
    <xdr:clientData/>
  </xdr:twoCellAnchor>
  <xdr:twoCellAnchor>
    <xdr:from>
      <xdr:col>5</xdr:col>
      <xdr:colOff>1395432</xdr:colOff>
      <xdr:row>8</xdr:row>
      <xdr:rowOff>81774</xdr:rowOff>
    </xdr:from>
    <xdr:to>
      <xdr:col>7</xdr:col>
      <xdr:colOff>1168688</xdr:colOff>
      <xdr:row>11</xdr:row>
      <xdr:rowOff>163573</xdr:rowOff>
    </xdr:to>
    <xdr:sp macro="" textlink="">
      <xdr:nvSpPr>
        <xdr:cNvPr id="20" name="吹き出し: 角を丸めた四角形 19">
          <a:extLst>
            <a:ext uri="{FF2B5EF4-FFF2-40B4-BE49-F238E27FC236}">
              <a16:creationId xmlns:a16="http://schemas.microsoft.com/office/drawing/2014/main" id="{7E2A37C1-DE28-4B55-A034-C9E6C4FA6B13}"/>
            </a:ext>
          </a:extLst>
        </xdr:cNvPr>
        <xdr:cNvSpPr/>
      </xdr:nvSpPr>
      <xdr:spPr>
        <a:xfrm>
          <a:off x="7643832" y="1758174"/>
          <a:ext cx="3380056" cy="767599"/>
        </a:xfrm>
        <a:prstGeom prst="wedgeRoundRectCallout">
          <a:avLst>
            <a:gd name="adj1" fmla="val -5467"/>
            <a:gd name="adj2" fmla="val 82223"/>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中間金、着手金が発生する場合には、その費用も考慮して記載してください。</a:t>
          </a:r>
          <a:endParaRPr kumimoji="1" lang="en-US" altLang="ja-JP" sz="1200">
            <a:solidFill>
              <a:sysClr val="windowText" lastClr="000000"/>
            </a:solidFill>
            <a:latin typeface="+mn-ea"/>
            <a:ea typeface="+mn-ea"/>
          </a:endParaRPr>
        </a:p>
      </xdr:txBody>
    </xdr:sp>
    <xdr:clientData/>
  </xdr:twoCellAnchor>
  <xdr:twoCellAnchor>
    <xdr:from>
      <xdr:col>5</xdr:col>
      <xdr:colOff>214457</xdr:colOff>
      <xdr:row>43</xdr:row>
      <xdr:rowOff>48717</xdr:rowOff>
    </xdr:from>
    <xdr:to>
      <xdr:col>9</xdr:col>
      <xdr:colOff>882526</xdr:colOff>
      <xdr:row>63</xdr:row>
      <xdr:rowOff>12311</xdr:rowOff>
    </xdr:to>
    <xdr:sp macro="" textlink="">
      <xdr:nvSpPr>
        <xdr:cNvPr id="21" name="四角形: 角を丸くする 20">
          <a:extLst>
            <a:ext uri="{FF2B5EF4-FFF2-40B4-BE49-F238E27FC236}">
              <a16:creationId xmlns:a16="http://schemas.microsoft.com/office/drawing/2014/main" id="{91B1C00B-F11C-4F64-85E3-6A22243E883B}"/>
            </a:ext>
          </a:extLst>
        </xdr:cNvPr>
        <xdr:cNvSpPr/>
      </xdr:nvSpPr>
      <xdr:spPr>
        <a:xfrm>
          <a:off x="6462857" y="13891717"/>
          <a:ext cx="7881669" cy="7075594"/>
        </a:xfrm>
        <a:prstGeom prst="roundRect">
          <a:avLst>
            <a:gd name="adj" fmla="val 3995"/>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全事業者</a:t>
          </a:r>
          <a:r>
            <a:rPr kumimoji="1" lang="en-US" altLang="ja-JP" sz="1200">
              <a:solidFill>
                <a:sysClr val="windowText" lastClr="000000"/>
              </a:solidFill>
              <a:latin typeface="+mn-ea"/>
              <a:ea typeface="+mn-ea"/>
            </a:rPr>
            <a:t>(1)~10</a:t>
          </a:r>
          <a:r>
            <a:rPr kumimoji="1" lang="ja-JP" altLang="en-US" sz="1200">
              <a:solidFill>
                <a:sysClr val="windowText" lastClr="000000"/>
              </a:solidFill>
              <a:latin typeface="+mn-ea"/>
              <a:ea typeface="+mn-ea"/>
            </a:rPr>
            <a:t>の経費明細の合計値が表示されます。</a:t>
          </a:r>
          <a:endParaRPr kumimoji="1" lang="en-US" altLang="ja-JP" sz="1200">
            <a:solidFill>
              <a:sysClr val="windowText" lastClr="000000"/>
            </a:solidFill>
            <a:latin typeface="+mn-ea"/>
            <a:ea typeface="+mn-ea"/>
          </a:endParaRPr>
        </a:p>
      </xdr:txBody>
    </xdr:sp>
    <xdr:clientData/>
  </xdr:twoCellAnchor>
  <xdr:twoCellAnchor>
    <xdr:from>
      <xdr:col>8</xdr:col>
      <xdr:colOff>946573</xdr:colOff>
      <xdr:row>14</xdr:row>
      <xdr:rowOff>254453</xdr:rowOff>
    </xdr:from>
    <xdr:to>
      <xdr:col>15</xdr:col>
      <xdr:colOff>1099068</xdr:colOff>
      <xdr:row>37</xdr:row>
      <xdr:rowOff>9228</xdr:rowOff>
    </xdr:to>
    <xdr:grpSp>
      <xdr:nvGrpSpPr>
        <xdr:cNvPr id="22" name="グループ化 21">
          <a:extLst>
            <a:ext uri="{FF2B5EF4-FFF2-40B4-BE49-F238E27FC236}">
              <a16:creationId xmlns:a16="http://schemas.microsoft.com/office/drawing/2014/main" id="{19B88F3F-7C14-44F9-B914-C9FC4DB67C2C}"/>
            </a:ext>
          </a:extLst>
        </xdr:cNvPr>
        <xdr:cNvGrpSpPr/>
      </xdr:nvGrpSpPr>
      <xdr:grpSpPr>
        <a:xfrm>
          <a:off x="12611523" y="3562803"/>
          <a:ext cx="15843345" cy="8225675"/>
          <a:chOff x="10335245" y="3283325"/>
          <a:chExt cx="15925740" cy="8628528"/>
        </a:xfrm>
        <a:solidFill>
          <a:schemeClr val="accent1">
            <a:lumMod val="60000"/>
            <a:lumOff val="40000"/>
          </a:schemeClr>
        </a:solidFill>
      </xdr:grpSpPr>
      <xdr:sp macro="" textlink="">
        <xdr:nvSpPr>
          <xdr:cNvPr id="23" name="四角形: 角を丸くする 22">
            <a:extLst>
              <a:ext uri="{FF2B5EF4-FFF2-40B4-BE49-F238E27FC236}">
                <a16:creationId xmlns:a16="http://schemas.microsoft.com/office/drawing/2014/main" id="{39EB0B1C-D292-21E4-817F-D8DCA6DBBEFA}"/>
              </a:ext>
            </a:extLst>
          </xdr:cNvPr>
          <xdr:cNvSpPr/>
        </xdr:nvSpPr>
        <xdr:spPr>
          <a:xfrm>
            <a:off x="18355235" y="3283325"/>
            <a:ext cx="7905750" cy="8628528"/>
          </a:xfrm>
          <a:prstGeom prst="roundRect">
            <a:avLst>
              <a:gd name="adj" fmla="val 3995"/>
            </a:avLst>
          </a:prstGeom>
          <a:grp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2~10</a:t>
            </a:r>
            <a:r>
              <a:rPr kumimoji="1" lang="ja-JP" altLang="en-US" sz="1200">
                <a:solidFill>
                  <a:sysClr val="windowText" lastClr="000000"/>
                </a:solidFill>
                <a:latin typeface="+mn-ea"/>
                <a:ea typeface="+mn-ea"/>
              </a:rPr>
              <a:t>の入力枠はコンソーシアム形式で申請する場合に入力する項目です。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①申請者情報シートの入力に応じて　　　　　　　</a:t>
            </a:r>
            <a:r>
              <a:rPr kumimoji="1" lang="ja-JP" altLang="en-US" sz="1200" baseline="0">
                <a:solidFill>
                  <a:sysClr val="windowText" lastClr="000000"/>
                </a:solidFill>
                <a:latin typeface="+mn-ea"/>
                <a:ea typeface="+mn-ea"/>
              </a:rPr>
              <a:t> </a:t>
            </a:r>
            <a:r>
              <a:rPr kumimoji="1" lang="ja-JP" altLang="en-US" sz="1200">
                <a:solidFill>
                  <a:sysClr val="windowText" lastClr="000000"/>
                </a:solidFill>
                <a:latin typeface="+mn-ea"/>
                <a:ea typeface="+mn-ea"/>
              </a:rPr>
              <a:t>から　　　　　に変更されます。</a:t>
            </a:r>
            <a:endParaRPr kumimoji="1" lang="en-US" altLang="ja-JP" sz="1200">
              <a:solidFill>
                <a:sysClr val="windowText" lastClr="000000"/>
              </a:solidFill>
              <a:latin typeface="+mn-ea"/>
              <a:ea typeface="+mn-ea"/>
            </a:endParaRPr>
          </a:p>
        </xdr:txBody>
      </xdr:sp>
      <xdr:sp macro="" textlink="">
        <xdr:nvSpPr>
          <xdr:cNvPr id="24" name="テキスト ボックス 23">
            <a:extLst>
              <a:ext uri="{FF2B5EF4-FFF2-40B4-BE49-F238E27FC236}">
                <a16:creationId xmlns:a16="http://schemas.microsoft.com/office/drawing/2014/main" id="{228048DC-6D5E-0092-0B4D-71B6EC851009}"/>
              </a:ext>
            </a:extLst>
          </xdr:cNvPr>
          <xdr:cNvSpPr txBox="1"/>
        </xdr:nvSpPr>
        <xdr:spPr>
          <a:xfrm>
            <a:off x="20928106" y="7601647"/>
            <a:ext cx="1079400" cy="249284"/>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25" name="テキスト ボックス 24">
            <a:extLst>
              <a:ext uri="{FF2B5EF4-FFF2-40B4-BE49-F238E27FC236}">
                <a16:creationId xmlns:a16="http://schemas.microsoft.com/office/drawing/2014/main" id="{BB2AB7CC-74A9-E782-49B9-A78DBCAACEC4}"/>
              </a:ext>
            </a:extLst>
          </xdr:cNvPr>
          <xdr:cNvSpPr txBox="1"/>
        </xdr:nvSpPr>
        <xdr:spPr>
          <a:xfrm>
            <a:off x="22358184" y="7592681"/>
            <a:ext cx="720000" cy="25125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6" name="テキスト ボックス 25">
            <a:extLst>
              <a:ext uri="{FF2B5EF4-FFF2-40B4-BE49-F238E27FC236}">
                <a16:creationId xmlns:a16="http://schemas.microsoft.com/office/drawing/2014/main" id="{9FE8C2A0-CA6D-4583-09EE-9FF5E8EABE9B}"/>
              </a:ext>
            </a:extLst>
          </xdr:cNvPr>
          <xdr:cNvSpPr txBox="1"/>
        </xdr:nvSpPr>
        <xdr:spPr>
          <a:xfrm>
            <a:off x="10335245" y="7574245"/>
            <a:ext cx="1079400" cy="249284"/>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grpSp>
    <xdr:clientData/>
  </xdr:twoCellAnchor>
  <xdr:twoCellAnchor>
    <xdr:from>
      <xdr:col>8</xdr:col>
      <xdr:colOff>239527</xdr:colOff>
      <xdr:row>0</xdr:row>
      <xdr:rowOff>25400</xdr:rowOff>
    </xdr:from>
    <xdr:to>
      <xdr:col>9</xdr:col>
      <xdr:colOff>2961862</xdr:colOff>
      <xdr:row>9</xdr:row>
      <xdr:rowOff>145595</xdr:rowOff>
    </xdr:to>
    <xdr:sp macro="" textlink="">
      <xdr:nvSpPr>
        <xdr:cNvPr id="27" name="吹き出し: 角を丸めた四角形 26">
          <a:extLst>
            <a:ext uri="{FF2B5EF4-FFF2-40B4-BE49-F238E27FC236}">
              <a16:creationId xmlns:a16="http://schemas.microsoft.com/office/drawing/2014/main" id="{534C2E59-B298-441D-9DAB-3833FBF2EE88}"/>
            </a:ext>
          </a:extLst>
        </xdr:cNvPr>
        <xdr:cNvSpPr/>
      </xdr:nvSpPr>
      <xdr:spPr>
        <a:xfrm>
          <a:off x="11898127" y="25400"/>
          <a:ext cx="4525735" cy="2025195"/>
        </a:xfrm>
        <a:prstGeom prst="wedgeRoundRectCallout">
          <a:avLst>
            <a:gd name="adj1" fmla="val -41026"/>
            <a:gd name="adj2" fmla="val 8430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1/4</a:t>
          </a:r>
          <a:r>
            <a:rPr kumimoji="1" lang="ja-JP" altLang="en-US" sz="1200">
              <a:solidFill>
                <a:sysClr val="windowText" lastClr="000000"/>
              </a:solidFill>
              <a:latin typeface="+mn-ea"/>
              <a:ea typeface="+mn-ea"/>
            </a:rPr>
            <a:t>補助率を許容するを選択した場合、</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C-1</a:t>
          </a:r>
          <a:r>
            <a:rPr kumimoji="1" lang="ja-JP" altLang="en-US" sz="1200">
              <a:solidFill>
                <a:sysClr val="windowText" lastClr="000000"/>
              </a:solidFill>
              <a:latin typeface="+mn-ea"/>
              <a:ea typeface="+mn-ea"/>
            </a:rPr>
            <a:t>）補助金交付申請額、（</a:t>
          </a:r>
          <a:r>
            <a:rPr kumimoji="1" lang="en-US" altLang="ja-JP" sz="1200">
              <a:solidFill>
                <a:sysClr val="windowText" lastClr="000000"/>
              </a:solidFill>
              <a:latin typeface="+mn-ea"/>
              <a:ea typeface="+mn-ea"/>
            </a:rPr>
            <a:t>C-2</a:t>
          </a:r>
          <a:r>
            <a:rPr kumimoji="1" lang="ja-JP" altLang="en-US" sz="1200">
              <a:solidFill>
                <a:sysClr val="windowText" lastClr="000000"/>
              </a:solidFill>
              <a:latin typeface="+mn-ea"/>
              <a:ea typeface="+mn-ea"/>
            </a:rPr>
            <a:t>）補助金交付申請額</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の双方を記載ください。</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理由としては、補助率が</a:t>
          </a:r>
          <a:r>
            <a:rPr kumimoji="1" lang="en-US" altLang="ja-JP" sz="1200">
              <a:solidFill>
                <a:sysClr val="windowText" lastClr="000000"/>
              </a:solidFill>
              <a:latin typeface="+mn-ea"/>
              <a:ea typeface="+mn-ea"/>
            </a:rPr>
            <a:t>1/3</a:t>
          </a:r>
          <a:r>
            <a:rPr kumimoji="1" lang="ja-JP" altLang="en-US" sz="1200">
              <a:solidFill>
                <a:sysClr val="windowText" lastClr="000000"/>
              </a:solidFill>
              <a:latin typeface="+mn-ea"/>
              <a:ea typeface="+mn-ea"/>
            </a:rPr>
            <a:t>から</a:t>
          </a:r>
          <a:r>
            <a:rPr kumimoji="1" lang="en-US" altLang="ja-JP" sz="1200">
              <a:solidFill>
                <a:sysClr val="windowText" lastClr="000000"/>
              </a:solidFill>
              <a:latin typeface="+mn-ea"/>
              <a:ea typeface="+mn-ea"/>
            </a:rPr>
            <a:t>1/4</a:t>
          </a:r>
          <a:r>
            <a:rPr kumimoji="1" lang="ja-JP" altLang="en-US" sz="1200">
              <a:solidFill>
                <a:sysClr val="windowText" lastClr="000000"/>
              </a:solidFill>
              <a:latin typeface="+mn-ea"/>
              <a:ea typeface="+mn-ea"/>
            </a:rPr>
            <a:t>になった場合の金額インパクトを予め数値化することで事前にご認識いただき、事業者様の事業運営のリスクを極小化したいためです。</a:t>
          </a:r>
          <a:endParaRPr kumimoji="1" lang="en-US" altLang="ja-JP" sz="1200">
            <a:solidFill>
              <a:sysClr val="windowText" lastClr="000000"/>
            </a:solidFill>
            <a:latin typeface="+mn-ea"/>
            <a:ea typeface="+mn-ea"/>
          </a:endParaRPr>
        </a:p>
      </xdr:txBody>
    </xdr:sp>
    <xdr:clientData/>
  </xdr:twoCellAnchor>
  <xdr:twoCellAnchor>
    <xdr:from>
      <xdr:col>7</xdr:col>
      <xdr:colOff>1019315</xdr:colOff>
      <xdr:row>67</xdr:row>
      <xdr:rowOff>76200</xdr:rowOff>
    </xdr:from>
    <xdr:to>
      <xdr:col>9</xdr:col>
      <xdr:colOff>264475</xdr:colOff>
      <xdr:row>69</xdr:row>
      <xdr:rowOff>11974</xdr:rowOff>
    </xdr:to>
    <xdr:sp macro="" textlink="">
      <xdr:nvSpPr>
        <xdr:cNvPr id="28" name="吹き出し: 角を丸めた四角形 27">
          <a:extLst>
            <a:ext uri="{FF2B5EF4-FFF2-40B4-BE49-F238E27FC236}">
              <a16:creationId xmlns:a16="http://schemas.microsoft.com/office/drawing/2014/main" id="{DC63440C-0311-48ED-8B6F-EFC28FBCF500}"/>
            </a:ext>
          </a:extLst>
        </xdr:cNvPr>
        <xdr:cNvSpPr/>
      </xdr:nvSpPr>
      <xdr:spPr>
        <a:xfrm>
          <a:off x="10874515" y="22453600"/>
          <a:ext cx="2851960" cy="545374"/>
        </a:xfrm>
        <a:prstGeom prst="wedgeRoundRectCallout">
          <a:avLst>
            <a:gd name="adj1" fmla="val -33428"/>
            <a:gd name="adj2" fmla="val -68361"/>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50</a:t>
          </a:r>
          <a:r>
            <a:rPr kumimoji="1" lang="ja-JP" altLang="en-US" sz="1200">
              <a:solidFill>
                <a:sysClr val="windowText" lastClr="000000"/>
              </a:solidFill>
              <a:latin typeface="+mn-ea"/>
              <a:ea typeface="+mn-ea"/>
            </a:rPr>
            <a:t>億円以内、かつ（</a:t>
          </a:r>
          <a:r>
            <a:rPr kumimoji="1" lang="en-US" altLang="ja-JP" sz="1200">
              <a:solidFill>
                <a:sysClr val="windowText" lastClr="000000"/>
              </a:solidFill>
              <a:latin typeface="+mn-ea"/>
              <a:ea typeface="+mn-ea"/>
            </a:rPr>
            <a:t>B</a:t>
          </a:r>
          <a:r>
            <a:rPr kumimoji="1" lang="ja-JP" altLang="en-US" sz="1200">
              <a:solidFill>
                <a:sysClr val="windowText" lastClr="000000"/>
              </a:solidFill>
              <a:latin typeface="+mn-ea"/>
              <a:ea typeface="+mn-ea"/>
            </a:rPr>
            <a:t>）補助対象経費の</a:t>
          </a:r>
          <a:r>
            <a:rPr kumimoji="1" lang="en-US" altLang="ja-JP" sz="1200">
              <a:solidFill>
                <a:sysClr val="windowText" lastClr="000000"/>
              </a:solidFill>
              <a:latin typeface="+mn-ea"/>
              <a:ea typeface="+mn-ea"/>
            </a:rPr>
            <a:t>1/3</a:t>
          </a:r>
          <a:r>
            <a:rPr kumimoji="1" lang="ja-JP" altLang="en-US" sz="1200">
              <a:solidFill>
                <a:sysClr val="windowText" lastClr="000000"/>
              </a:solidFill>
              <a:latin typeface="+mn-ea"/>
              <a:ea typeface="+mn-ea"/>
            </a:rPr>
            <a:t>以内で入力してください。</a:t>
          </a:r>
          <a:endParaRPr kumimoji="1" lang="en-US" altLang="ja-JP" sz="1200">
            <a:solidFill>
              <a:sysClr val="windowText" lastClr="000000"/>
            </a:solidFill>
            <a:latin typeface="+mn-ea"/>
            <a:ea typeface="+mn-ea"/>
          </a:endParaRPr>
        </a:p>
      </xdr:txBody>
    </xdr:sp>
    <xdr:clientData/>
  </xdr:twoCellAnchor>
  <xdr:twoCellAnchor>
    <xdr:from>
      <xdr:col>5</xdr:col>
      <xdr:colOff>762000</xdr:colOff>
      <xdr:row>68</xdr:row>
      <xdr:rowOff>16461</xdr:rowOff>
    </xdr:from>
    <xdr:to>
      <xdr:col>7</xdr:col>
      <xdr:colOff>65387</xdr:colOff>
      <xdr:row>70</xdr:row>
      <xdr:rowOff>49679</xdr:rowOff>
    </xdr:to>
    <xdr:sp macro="" textlink="">
      <xdr:nvSpPr>
        <xdr:cNvPr id="29" name="吹き出し: 角を丸めた四角形 28">
          <a:extLst>
            <a:ext uri="{FF2B5EF4-FFF2-40B4-BE49-F238E27FC236}">
              <a16:creationId xmlns:a16="http://schemas.microsoft.com/office/drawing/2014/main" id="{BA52A4D5-ADDE-4670-8E91-3B18C10D1B6F}"/>
            </a:ext>
          </a:extLst>
        </xdr:cNvPr>
        <xdr:cNvSpPr/>
      </xdr:nvSpPr>
      <xdr:spPr>
        <a:xfrm>
          <a:off x="7010400" y="22774861"/>
          <a:ext cx="2910187" cy="490418"/>
        </a:xfrm>
        <a:prstGeom prst="wedgeRoundRectCallout">
          <a:avLst>
            <a:gd name="adj1" fmla="val 35879"/>
            <a:gd name="adj2" fmla="val -7052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10</a:t>
          </a:r>
          <a:r>
            <a:rPr kumimoji="1" lang="ja-JP" altLang="en-US" sz="1200">
              <a:solidFill>
                <a:sysClr val="windowText" lastClr="000000"/>
              </a:solidFill>
              <a:latin typeface="+mn-ea"/>
              <a:ea typeface="+mn-ea"/>
            </a:rPr>
            <a:t>億円以上（専門家経費・外注費を除く補助対象経費分）を入力してください。</a:t>
          </a:r>
          <a:endParaRPr kumimoji="1" lang="en-US" altLang="ja-JP" sz="12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soumu.go.jp/toukei_toukatsu/index/seido/sangyo/02toukatsu01_03000023.html" TargetMode="External"/><Relationship Id="rId18" Type="http://schemas.openxmlformats.org/officeDocument/2006/relationships/hyperlink" Target="https://www.soumu.go.jp/toukei_toukatsu/index/seido/sangyo/02toukatsu01_03000023.html" TargetMode="External"/><Relationship Id="rId26" Type="http://schemas.openxmlformats.org/officeDocument/2006/relationships/hyperlink" Target="https://www.soumu.go.jp/toukei_toukatsu/index/seido/sangyo/02toukatsu01_03000023.html" TargetMode="External"/><Relationship Id="rId39" Type="http://schemas.openxmlformats.org/officeDocument/2006/relationships/hyperlink" Target="https://www.soumu.go.jp/toukei_toukatsu/index/seido/sangyo/02toukatsu01_03000023.html" TargetMode="External"/><Relationship Id="rId21" Type="http://schemas.openxmlformats.org/officeDocument/2006/relationships/hyperlink" Target="https://www.soumu.go.jp/toukei_toukatsu/index/seido/sangyo/02toukatsu01_03000023.html" TargetMode="External"/><Relationship Id="rId34" Type="http://schemas.openxmlformats.org/officeDocument/2006/relationships/hyperlink" Target="https://www.soumu.go.jp/toukei_toukatsu/index/seido/sangyo/02toukatsu01_03000023.html" TargetMode="External"/><Relationship Id="rId42" Type="http://schemas.openxmlformats.org/officeDocument/2006/relationships/hyperlink" Target="https://www.soumu.go.jp/toukei_toukatsu/index/seido/sangyo/02toukatsu01_03000023.html" TargetMode="External"/><Relationship Id="rId47" Type="http://schemas.openxmlformats.org/officeDocument/2006/relationships/hyperlink" Target="https://www.soumu.go.jp/toukei_toukatsu/index/seido/sangyo/02toukatsu01_03000023.html" TargetMode="External"/><Relationship Id="rId50" Type="http://schemas.openxmlformats.org/officeDocument/2006/relationships/hyperlink" Target="https://www.soumu.go.jp/toukei_toukatsu/index/seido/sangyo/02toukatsu01_03000023.html" TargetMode="External"/><Relationship Id="rId55" Type="http://schemas.openxmlformats.org/officeDocument/2006/relationships/hyperlink" Target="https://www.soumu.go.jp/toukei_toukatsu/index/seido/sangyo/02toukatsu01_03000023.html" TargetMode="External"/><Relationship Id="rId7" Type="http://schemas.openxmlformats.org/officeDocument/2006/relationships/hyperlink" Target="https://www.e-stat.go.jp/surveyitems/items/386030127" TargetMode="External"/><Relationship Id="rId12" Type="http://schemas.openxmlformats.org/officeDocument/2006/relationships/hyperlink" Target="https://www.soumu.go.jp/toukei_toukatsu/index/seido/sangyo/02toukatsu01_03000023.html" TargetMode="External"/><Relationship Id="rId17" Type="http://schemas.openxmlformats.org/officeDocument/2006/relationships/hyperlink" Target="https://www.soumu.go.jp/toukei_toukatsu/index/seido/sangyo/02toukatsu01_03000023.html" TargetMode="External"/><Relationship Id="rId25" Type="http://schemas.openxmlformats.org/officeDocument/2006/relationships/hyperlink" Target="https://www.soumu.go.jp/toukei_toukatsu/index/seido/sangyo/02toukatsu01_03000023.html" TargetMode="External"/><Relationship Id="rId33" Type="http://schemas.openxmlformats.org/officeDocument/2006/relationships/hyperlink" Target="https://www.soumu.go.jp/toukei_toukatsu/index/seido/sangyo/02toukatsu01_03000023.html" TargetMode="External"/><Relationship Id="rId38" Type="http://schemas.openxmlformats.org/officeDocument/2006/relationships/hyperlink" Target="https://www.soumu.go.jp/toukei_toukatsu/index/seido/sangyo/02toukatsu01_03000023.html" TargetMode="External"/><Relationship Id="rId46" Type="http://schemas.openxmlformats.org/officeDocument/2006/relationships/hyperlink" Target="https://www.soumu.go.jp/toukei_toukatsu/index/seido/sangyo/02toukatsu01_03000023.html" TargetMode="External"/><Relationship Id="rId59" Type="http://schemas.openxmlformats.org/officeDocument/2006/relationships/printerSettings" Target="../printerSettings/printerSettings2.bin"/><Relationship Id="rId2" Type="http://schemas.openxmlformats.org/officeDocument/2006/relationships/hyperlink" Target="https://www.biz-partnership.jp/" TargetMode="External"/><Relationship Id="rId16" Type="http://schemas.openxmlformats.org/officeDocument/2006/relationships/hyperlink" Target="https://www.soumu.go.jp/toukei_toukatsu/index/seido/sangyo/02toukatsu01_03000023.html" TargetMode="External"/><Relationship Id="rId20" Type="http://schemas.openxmlformats.org/officeDocument/2006/relationships/hyperlink" Target="https://www.soumu.go.jp/toukei_toukatsu/index/seido/sangyo/02toukatsu01_03000023.html" TargetMode="External"/><Relationship Id="rId29" Type="http://schemas.openxmlformats.org/officeDocument/2006/relationships/hyperlink" Target="https://www.soumu.go.jp/toukei_toukatsu/index/seido/sangyo/02toukatsu01_03000023.html" TargetMode="External"/><Relationship Id="rId41" Type="http://schemas.openxmlformats.org/officeDocument/2006/relationships/hyperlink" Target="https://www.soumu.go.jp/toukei_toukatsu/index/seido/sangyo/02toukatsu01_03000023.html" TargetMode="External"/><Relationship Id="rId54" Type="http://schemas.openxmlformats.org/officeDocument/2006/relationships/hyperlink" Target="https://www.soumu.go.jp/toukei_toukatsu/index/seido/sangyo/02toukatsu01_03000023.html"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e-stat.go.jp/surveyitems/items/386030248" TargetMode="External"/><Relationship Id="rId11" Type="http://schemas.openxmlformats.org/officeDocument/2006/relationships/hyperlink" Target="https://www.soumu.go.jp/toukei_toukatsu/index/seido/sangyo/02toukatsu01_03000023.html" TargetMode="External"/><Relationship Id="rId24" Type="http://schemas.openxmlformats.org/officeDocument/2006/relationships/hyperlink" Target="https://www.soumu.go.jp/toukei_toukatsu/index/seido/sangyo/02toukatsu01_03000023.html" TargetMode="External"/><Relationship Id="rId32" Type="http://schemas.openxmlformats.org/officeDocument/2006/relationships/hyperlink" Target="https://www.soumu.go.jp/toukei_toukatsu/index/seido/sangyo/02toukatsu01_03000023.html" TargetMode="External"/><Relationship Id="rId37" Type="http://schemas.openxmlformats.org/officeDocument/2006/relationships/hyperlink" Target="https://www.soumu.go.jp/toukei_toukatsu/index/seido/sangyo/02toukatsu01_03000023.html" TargetMode="External"/><Relationship Id="rId40" Type="http://schemas.openxmlformats.org/officeDocument/2006/relationships/hyperlink" Target="https://www.soumu.go.jp/toukei_toukatsu/index/seido/sangyo/02toukatsu01_03000023.html" TargetMode="External"/><Relationship Id="rId45" Type="http://schemas.openxmlformats.org/officeDocument/2006/relationships/hyperlink" Target="https://www.soumu.go.jp/toukei_toukatsu/index/seido/sangyo/02toukatsu01_03000023.html" TargetMode="External"/><Relationship Id="rId53" Type="http://schemas.openxmlformats.org/officeDocument/2006/relationships/hyperlink" Target="https://www.soumu.go.jp/toukei_toukatsu/index/seido/sangyo/02toukatsu01_03000023.html" TargetMode="External"/><Relationship Id="rId58" Type="http://schemas.openxmlformats.org/officeDocument/2006/relationships/hyperlink" Target="https://revicareer.jp/" TargetMode="External"/><Relationship Id="rId5" Type="http://schemas.openxmlformats.org/officeDocument/2006/relationships/hyperlink" Target="https://www.e-stat.go.jp/surveyitems/items/386010197" TargetMode="External"/><Relationship Id="rId15" Type="http://schemas.openxmlformats.org/officeDocument/2006/relationships/hyperlink" Target="https://www.soumu.go.jp/toukei_toukatsu/index/seido/sangyo/02toukatsu01_03000023.html" TargetMode="External"/><Relationship Id="rId23" Type="http://schemas.openxmlformats.org/officeDocument/2006/relationships/hyperlink" Target="https://www.soumu.go.jp/toukei_toukatsu/index/seido/sangyo/02toukatsu01_03000023.html" TargetMode="External"/><Relationship Id="rId28" Type="http://schemas.openxmlformats.org/officeDocument/2006/relationships/hyperlink" Target="https://www.soumu.go.jp/toukei_toukatsu/index/seido/sangyo/02toukatsu01_03000023.html" TargetMode="External"/><Relationship Id="rId36" Type="http://schemas.openxmlformats.org/officeDocument/2006/relationships/hyperlink" Target="https://www.soumu.go.jp/toukei_toukatsu/index/seido/sangyo/02toukatsu01_03000023.html" TargetMode="External"/><Relationship Id="rId49" Type="http://schemas.openxmlformats.org/officeDocument/2006/relationships/hyperlink" Target="https://www.soumu.go.jp/toukei_toukatsu/index/seido/sangyo/02toukatsu01_03000023.html" TargetMode="External"/><Relationship Id="rId57" Type="http://schemas.openxmlformats.org/officeDocument/2006/relationships/hyperlink" Target="https://www.mhlw.go.jp/stf/seisakunitsuite/bunya/0000091025.html" TargetMode="External"/><Relationship Id="rId10" Type="http://schemas.openxmlformats.org/officeDocument/2006/relationships/hyperlink" Target="https://www.soumu.go.jp/toukei_toukatsu/index/seido/sangyo/02toukatsu01_03000023.html" TargetMode="External"/><Relationship Id="rId19" Type="http://schemas.openxmlformats.org/officeDocument/2006/relationships/hyperlink" Target="https://www.soumu.go.jp/toukei_toukatsu/index/seido/sangyo/02toukatsu01_03000023.html" TargetMode="External"/><Relationship Id="rId31" Type="http://schemas.openxmlformats.org/officeDocument/2006/relationships/hyperlink" Target="https://www.soumu.go.jp/toukei_toukatsu/index/seido/sangyo/02toukatsu01_03000023.html" TargetMode="External"/><Relationship Id="rId44" Type="http://schemas.openxmlformats.org/officeDocument/2006/relationships/hyperlink" Target="https://www.soumu.go.jp/toukei_toukatsu/index/seido/sangyo/02toukatsu01_03000023.html" TargetMode="External"/><Relationship Id="rId52" Type="http://schemas.openxmlformats.org/officeDocument/2006/relationships/hyperlink" Target="https://www.soumu.go.jp/toukei_toukatsu/index/seido/sangyo/02toukatsu01_03000023.html" TargetMode="External"/><Relationship Id="rId60" Type="http://schemas.openxmlformats.org/officeDocument/2006/relationships/drawing" Target="../drawings/drawing3.xm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meti.go.jp/policy/sme_chiiki/chiikimiraitoushi.html" TargetMode="External"/><Relationship Id="rId14" Type="http://schemas.openxmlformats.org/officeDocument/2006/relationships/hyperlink" Target="https://www.soumu.go.jp/toukei_toukatsu/index/seido/sangyo/02toukatsu01_03000023.html" TargetMode="External"/><Relationship Id="rId22" Type="http://schemas.openxmlformats.org/officeDocument/2006/relationships/hyperlink" Target="https://www.soumu.go.jp/toukei_toukatsu/index/seido/sangyo/02toukatsu01_03000023.html" TargetMode="External"/><Relationship Id="rId27" Type="http://schemas.openxmlformats.org/officeDocument/2006/relationships/hyperlink" Target="https://www.soumu.go.jp/toukei_toukatsu/index/seido/sangyo/02toukatsu01_03000023.html" TargetMode="External"/><Relationship Id="rId30" Type="http://schemas.openxmlformats.org/officeDocument/2006/relationships/hyperlink" Target="https://www.soumu.go.jp/toukei_toukatsu/index/seido/sangyo/02toukatsu01_03000023.html" TargetMode="External"/><Relationship Id="rId35" Type="http://schemas.openxmlformats.org/officeDocument/2006/relationships/hyperlink" Target="https://www.soumu.go.jp/toukei_toukatsu/index/seido/sangyo/02toukatsu01_03000023.html" TargetMode="External"/><Relationship Id="rId43" Type="http://schemas.openxmlformats.org/officeDocument/2006/relationships/hyperlink" Target="https://www.soumu.go.jp/toukei_toukatsu/index/seido/sangyo/02toukatsu01_03000023.html" TargetMode="External"/><Relationship Id="rId48" Type="http://schemas.openxmlformats.org/officeDocument/2006/relationships/hyperlink" Target="https://www.soumu.go.jp/toukei_toukatsu/index/seido/sangyo/02toukatsu01_03000023.html" TargetMode="External"/><Relationship Id="rId56" Type="http://schemas.openxmlformats.org/officeDocument/2006/relationships/hyperlink" Target="https://www.mhlw.go.jp/stf/seisakunitsuite/bunya/kodomo/shokuba_kosodate/kurumin/index.html" TargetMode="External"/><Relationship Id="rId8" Type="http://schemas.openxmlformats.org/officeDocument/2006/relationships/hyperlink" Target="https://www.e-stat.go.jp/surveyitems/definitions/42841" TargetMode="External"/><Relationship Id="rId51" Type="http://schemas.openxmlformats.org/officeDocument/2006/relationships/hyperlink" Target="https://www.soumu.go.jp/toukei_toukatsu/index/seido/sangyo/02toukatsu01_03000023.html" TargetMode="External"/><Relationship Id="rId3" Type="http://schemas.openxmlformats.org/officeDocument/2006/relationships/hyperlink" Target="https://www.soumu.go.jp/toukei_toukatsu/index/seido/sangyo/02toukatsu01_03000023.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EA6EF-6E50-4624-87D6-D6195121061C}">
  <sheetPr codeName="Sheet1"/>
  <dimension ref="A1:E30"/>
  <sheetViews>
    <sheetView tabSelected="1" workbookViewId="0"/>
  </sheetViews>
  <sheetFormatPr defaultColWidth="9" defaultRowHeight="18"/>
  <cols>
    <col min="1" max="4" width="3.08203125" customWidth="1"/>
  </cols>
  <sheetData>
    <row r="1" spans="1:4" s="1" customFormat="1" ht="14.5" customHeight="1">
      <c r="A1" s="113" t="s">
        <v>1144</v>
      </c>
      <c r="D1" s="3"/>
    </row>
    <row r="2" spans="1:4" s="1" customFormat="1" ht="7.5" customHeight="1">
      <c r="A2" s="42"/>
      <c r="D2" s="3"/>
    </row>
    <row r="3" spans="1:4" s="1" customFormat="1" ht="22.5">
      <c r="B3" s="74" t="s">
        <v>0</v>
      </c>
      <c r="D3" s="3"/>
    </row>
    <row r="4" spans="1:4">
      <c r="C4" s="1" t="s">
        <v>1</v>
      </c>
    </row>
    <row r="5" spans="1:4">
      <c r="D5" t="s">
        <v>2</v>
      </c>
    </row>
    <row r="6" spans="1:4">
      <c r="D6" t="s">
        <v>3</v>
      </c>
    </row>
    <row r="8" spans="1:4">
      <c r="C8" t="s">
        <v>4</v>
      </c>
    </row>
    <row r="9" spans="1:4">
      <c r="C9" t="s">
        <v>5</v>
      </c>
    </row>
    <row r="22" spans="3:5">
      <c r="C22" t="s">
        <v>6</v>
      </c>
    </row>
    <row r="23" spans="3:5">
      <c r="D23" t="s">
        <v>7</v>
      </c>
    </row>
    <row r="24" spans="3:5">
      <c r="D24" t="s">
        <v>8</v>
      </c>
    </row>
    <row r="25" spans="3:5">
      <c r="D25" t="s">
        <v>9</v>
      </c>
    </row>
    <row r="26" spans="3:5">
      <c r="E26" t="s">
        <v>10</v>
      </c>
    </row>
    <row r="27" spans="3:5">
      <c r="E27" t="s">
        <v>11</v>
      </c>
    </row>
    <row r="28" spans="3:5">
      <c r="E28" t="s">
        <v>12</v>
      </c>
    </row>
    <row r="29" spans="3:5">
      <c r="E29" t="s">
        <v>13</v>
      </c>
    </row>
    <row r="30" spans="3:5">
      <c r="E30" s="197" t="s">
        <v>14</v>
      </c>
    </row>
  </sheetData>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382C8-4EF3-46B1-B3AD-5D3724C50C3C}">
  <sheetPr>
    <tabColor theme="7" tint="0.79998168889431442"/>
    <pageSetUpPr fitToPage="1"/>
  </sheetPr>
  <dimension ref="A1:H291"/>
  <sheetViews>
    <sheetView zoomScaleNormal="100" workbookViewId="0"/>
  </sheetViews>
  <sheetFormatPr defaultRowHeight="18" outlineLevelRow="1"/>
  <cols>
    <col min="1" max="1" width="3" customWidth="1"/>
    <col min="2" max="2" width="14.75" customWidth="1"/>
    <col min="3" max="3" width="31.75" bestFit="1" customWidth="1"/>
    <col min="4" max="4" width="56.75" bestFit="1" customWidth="1"/>
    <col min="5" max="5" width="87.33203125" customWidth="1"/>
  </cols>
  <sheetData>
    <row r="1" spans="1:5" s="1" customFormat="1" ht="14.5" customHeight="1">
      <c r="A1" s="113" t="s">
        <v>1144</v>
      </c>
      <c r="E1" s="3"/>
    </row>
    <row r="2" spans="1:5" s="1" customFormat="1" ht="7.5" customHeight="1">
      <c r="A2" s="42"/>
      <c r="E2" s="3"/>
    </row>
    <row r="3" spans="1:5" s="1" customFormat="1" ht="23" thickBot="1">
      <c r="B3" s="74" t="s">
        <v>15</v>
      </c>
      <c r="E3" s="3"/>
    </row>
    <row r="4" spans="1:5" s="1" customFormat="1" ht="16.149999999999999" customHeight="1" thickBot="1">
      <c r="B4" s="135"/>
      <c r="D4" s="134" t="str">
        <f>IF(COUNTIF(E222:E287,"&lt;&gt;"&amp;" "),"要件を満たしていない項目があります。最下行の&lt;入力チェック&gt;を確認してください。","")</f>
        <v>要件を満たしていない項目があります。最下行の&lt;入力チェック&gt;を確認してください。</v>
      </c>
      <c r="E4" s="158"/>
    </row>
    <row r="5" spans="1:5" ht="46.5" customHeight="1"/>
    <row r="6" spans="1:5" ht="36" customHeight="1">
      <c r="B6" s="156" t="s">
        <v>16</v>
      </c>
      <c r="C6" s="126"/>
      <c r="D6" s="187" t="s">
        <v>17</v>
      </c>
      <c r="E6" s="105"/>
    </row>
    <row r="8" spans="1:5" ht="61.5" customHeight="1">
      <c r="B8" s="27" t="s">
        <v>18</v>
      </c>
      <c r="C8" s="60"/>
      <c r="D8" s="225" t="s">
        <v>19</v>
      </c>
      <c r="E8" s="153"/>
    </row>
    <row r="9" spans="1:5" ht="18" customHeight="1"/>
    <row r="10" spans="1:5" ht="36" customHeight="1">
      <c r="B10" s="199" t="s">
        <v>20</v>
      </c>
      <c r="C10" s="200"/>
      <c r="D10" s="203" t="s">
        <v>21</v>
      </c>
      <c r="E10" s="105"/>
    </row>
    <row r="11" spans="1:5" ht="96" customHeight="1">
      <c r="B11" s="368" t="s">
        <v>22</v>
      </c>
      <c r="C11" s="369"/>
      <c r="D11" s="370"/>
      <c r="E11" s="371"/>
    </row>
    <row r="12" spans="1:5" ht="61.5" customHeight="1">
      <c r="B12" s="199" t="s">
        <v>23</v>
      </c>
      <c r="C12" s="202"/>
      <c r="D12" s="203" t="s">
        <v>24</v>
      </c>
      <c r="E12" s="105"/>
    </row>
    <row r="13" spans="1:5" ht="124" customHeight="1">
      <c r="B13" s="372" t="s">
        <v>25</v>
      </c>
      <c r="C13" s="373"/>
      <c r="D13" s="373"/>
      <c r="E13" s="374"/>
    </row>
    <row r="14" spans="1:5" ht="36" customHeight="1">
      <c r="B14" s="220" t="s">
        <v>26</v>
      </c>
      <c r="C14" s="200"/>
      <c r="D14" s="340" t="s">
        <v>27</v>
      </c>
      <c r="E14" s="339"/>
    </row>
    <row r="15" spans="1:5" ht="36" customHeight="1">
      <c r="B15" s="15" t="s">
        <v>28</v>
      </c>
      <c r="C15" s="126"/>
      <c r="D15" s="187" t="s">
        <v>29</v>
      </c>
      <c r="E15" s="137"/>
    </row>
    <row r="16" spans="1:5" ht="36" customHeight="1">
      <c r="B16" s="199" t="s">
        <v>30</v>
      </c>
      <c r="C16" s="126"/>
      <c r="D16" s="202" t="s">
        <v>31</v>
      </c>
      <c r="E16" s="105"/>
    </row>
    <row r="17" spans="2:5" ht="36" customHeight="1">
      <c r="B17" s="15" t="s">
        <v>32</v>
      </c>
      <c r="C17" s="126"/>
      <c r="D17" s="203" t="s">
        <v>33</v>
      </c>
      <c r="E17" s="105"/>
    </row>
    <row r="18" spans="2:5" ht="36" customHeight="1">
      <c r="B18" s="199" t="s">
        <v>34</v>
      </c>
      <c r="C18" s="200"/>
      <c r="D18" s="201" t="s">
        <v>35</v>
      </c>
      <c r="E18" s="153"/>
    </row>
    <row r="19" spans="2:5" ht="36" customHeight="1">
      <c r="B19" s="15" t="s">
        <v>36</v>
      </c>
      <c r="C19" s="126"/>
      <c r="D19" s="201" t="s">
        <v>37</v>
      </c>
      <c r="E19" s="105"/>
    </row>
    <row r="20" spans="2:5" ht="36" customHeight="1">
      <c r="B20" s="15" t="s">
        <v>38</v>
      </c>
      <c r="C20" s="126"/>
      <c r="D20" s="201" t="s">
        <v>37</v>
      </c>
      <c r="E20" s="105"/>
    </row>
    <row r="21" spans="2:5" ht="36" customHeight="1">
      <c r="B21" s="59" t="s">
        <v>39</v>
      </c>
      <c r="C21" s="60" t="s">
        <v>40</v>
      </c>
      <c r="D21" s="187" t="s">
        <v>41</v>
      </c>
      <c r="E21" s="105"/>
    </row>
    <row r="22" spans="2:5" ht="36" customHeight="1">
      <c r="B22" s="216" t="s">
        <v>42</v>
      </c>
      <c r="C22" s="60" t="s">
        <v>43</v>
      </c>
      <c r="D22" s="187" t="s">
        <v>44</v>
      </c>
      <c r="E22" s="105"/>
    </row>
    <row r="23" spans="2:5" ht="36" customHeight="1">
      <c r="B23" s="61"/>
      <c r="C23" s="60" t="s">
        <v>45</v>
      </c>
      <c r="D23" s="199"/>
      <c r="E23" s="105"/>
    </row>
    <row r="24" spans="2:5" ht="36" customHeight="1">
      <c r="B24" s="61"/>
      <c r="C24" s="60" t="s">
        <v>46</v>
      </c>
      <c r="D24" s="199"/>
      <c r="E24" s="105"/>
    </row>
    <row r="25" spans="2:5" ht="36" customHeight="1">
      <c r="B25" s="61"/>
      <c r="C25" s="212" t="s">
        <v>47</v>
      </c>
      <c r="D25" s="201" t="s">
        <v>48</v>
      </c>
      <c r="E25" s="105"/>
    </row>
    <row r="26" spans="2:5" ht="36" customHeight="1">
      <c r="B26" s="61"/>
      <c r="C26" s="213" t="s">
        <v>49</v>
      </c>
      <c r="D26" s="201" t="s">
        <v>50</v>
      </c>
      <c r="E26" s="105"/>
    </row>
    <row r="27" spans="2:5" ht="36" customHeight="1">
      <c r="B27" s="61"/>
      <c r="C27" s="60" t="s">
        <v>51</v>
      </c>
      <c r="D27" s="201" t="s">
        <v>52</v>
      </c>
      <c r="E27" s="105"/>
    </row>
    <row r="28" spans="2:5" ht="36" customHeight="1">
      <c r="B28" s="62"/>
      <c r="C28" s="60" t="s">
        <v>53</v>
      </c>
      <c r="D28" s="201" t="s">
        <v>54</v>
      </c>
      <c r="E28" s="221"/>
    </row>
    <row r="29" spans="2:5" ht="36" customHeight="1">
      <c r="B29" s="59" t="s">
        <v>55</v>
      </c>
      <c r="C29" s="60" t="str">
        <f>$C$21</f>
        <v>担当者名（ふりがな）</v>
      </c>
      <c r="D29" s="214" t="s">
        <v>56</v>
      </c>
      <c r="E29" s="105"/>
    </row>
    <row r="30" spans="2:5" ht="36" customHeight="1">
      <c r="B30" s="61"/>
      <c r="C30" s="60" t="str">
        <f>$C$22</f>
        <v>担当者名</v>
      </c>
      <c r="D30" s="214" t="s">
        <v>57</v>
      </c>
      <c r="E30" s="105"/>
    </row>
    <row r="31" spans="2:5" ht="36" customHeight="1">
      <c r="B31" s="61"/>
      <c r="C31" s="60" t="str">
        <f>$C$23</f>
        <v>所属</v>
      </c>
      <c r="D31" s="199"/>
      <c r="E31" s="105"/>
    </row>
    <row r="32" spans="2:5" ht="36" customHeight="1">
      <c r="B32" s="61"/>
      <c r="C32" s="60" t="str">
        <f>$C$24</f>
        <v>役職</v>
      </c>
      <c r="D32" s="199"/>
      <c r="E32" s="105"/>
    </row>
    <row r="33" spans="2:5" ht="36" customHeight="1">
      <c r="B33" s="61"/>
      <c r="C33" s="212" t="s">
        <v>47</v>
      </c>
      <c r="D33" s="203" t="s">
        <v>58</v>
      </c>
      <c r="E33" s="105"/>
    </row>
    <row r="34" spans="2:5" ht="36" customHeight="1">
      <c r="B34" s="61"/>
      <c r="C34" s="213" t="s">
        <v>49</v>
      </c>
      <c r="D34" s="201" t="s">
        <v>50</v>
      </c>
      <c r="E34" s="105"/>
    </row>
    <row r="35" spans="2:5" ht="36" customHeight="1">
      <c r="B35" s="61"/>
      <c r="C35" s="60" t="str">
        <f>$C$27</f>
        <v>電話番号（携帯）</v>
      </c>
      <c r="D35" s="201" t="s">
        <v>52</v>
      </c>
      <c r="E35" s="105"/>
    </row>
    <row r="36" spans="2:5" ht="36" customHeight="1">
      <c r="B36" s="62"/>
      <c r="C36" s="60" t="str">
        <f>$C$28</f>
        <v>e-mail</v>
      </c>
      <c r="D36" s="203" t="s">
        <v>59</v>
      </c>
      <c r="E36" s="221"/>
    </row>
    <row r="37" spans="2:5" ht="36" customHeight="1">
      <c r="B37" s="15" t="s">
        <v>60</v>
      </c>
      <c r="C37" s="126"/>
      <c r="D37" s="201" t="s">
        <v>61</v>
      </c>
      <c r="E37" s="153"/>
    </row>
    <row r="38" spans="2:5" ht="36" customHeight="1">
      <c r="B38" s="15" t="s">
        <v>62</v>
      </c>
      <c r="C38" s="126"/>
      <c r="D38" s="201" t="s">
        <v>63</v>
      </c>
      <c r="E38" s="153"/>
    </row>
    <row r="39" spans="2:5" ht="36" customHeight="1">
      <c r="B39" s="15" t="s">
        <v>64</v>
      </c>
      <c r="C39" s="126"/>
      <c r="D39" s="203" t="s">
        <v>65</v>
      </c>
      <c r="E39" s="153"/>
    </row>
    <row r="40" spans="2:5" ht="36" customHeight="1">
      <c r="B40" s="15" t="s">
        <v>66</v>
      </c>
      <c r="C40" s="126"/>
      <c r="D40" s="203" t="s">
        <v>67</v>
      </c>
      <c r="E40" s="153"/>
    </row>
    <row r="42" spans="2:5">
      <c r="B42" s="150" t="s">
        <v>68</v>
      </c>
      <c r="C42" s="151"/>
      <c r="D42" s="151"/>
      <c r="E42" s="151"/>
    </row>
    <row r="43" spans="2:5" ht="36" customHeight="1">
      <c r="B43" s="59" t="s">
        <v>69</v>
      </c>
      <c r="C43" s="60" t="str">
        <f>$B$16</f>
        <v>法人番号（インボイス登録番号）</v>
      </c>
      <c r="D43" s="198" t="s">
        <v>70</v>
      </c>
      <c r="E43" s="105"/>
    </row>
    <row r="44" spans="2:5" ht="36" customHeight="1">
      <c r="B44" s="61"/>
      <c r="C44" s="60" t="str">
        <f>$B$17</f>
        <v>事業者名（企業名）</v>
      </c>
      <c r="D44" s="199"/>
      <c r="E44" s="105"/>
    </row>
    <row r="45" spans="2:5" ht="36" customHeight="1">
      <c r="B45" s="62"/>
      <c r="C45" s="15" t="s">
        <v>71</v>
      </c>
      <c r="D45" s="200"/>
      <c r="E45" s="105"/>
    </row>
    <row r="46" spans="2:5" ht="36" customHeight="1">
      <c r="B46" s="59" t="s">
        <v>72</v>
      </c>
      <c r="C46" s="60" t="str">
        <f>$B$16</f>
        <v>法人番号（インボイス登録番号）</v>
      </c>
      <c r="D46" s="198" t="s">
        <v>70</v>
      </c>
      <c r="E46" s="105"/>
    </row>
    <row r="47" spans="2:5" ht="36" customHeight="1">
      <c r="B47" s="61"/>
      <c r="C47" s="60" t="str">
        <f>$B$17</f>
        <v>事業者名（企業名）</v>
      </c>
      <c r="D47" s="199"/>
      <c r="E47" s="105"/>
    </row>
    <row r="48" spans="2:5" ht="36" customHeight="1">
      <c r="B48" s="62"/>
      <c r="C48" s="15" t="s">
        <v>71</v>
      </c>
      <c r="D48" s="200"/>
      <c r="E48" s="105"/>
    </row>
    <row r="49" spans="2:5" ht="36" customHeight="1">
      <c r="B49" s="59" t="s">
        <v>73</v>
      </c>
      <c r="C49" s="60" t="str">
        <f>$B$16</f>
        <v>法人番号（インボイス登録番号）</v>
      </c>
      <c r="D49" s="198" t="s">
        <v>70</v>
      </c>
      <c r="E49" s="105"/>
    </row>
    <row r="50" spans="2:5" ht="36" customHeight="1">
      <c r="B50" s="61"/>
      <c r="C50" s="60" t="str">
        <f>$B$17</f>
        <v>事業者名（企業名）</v>
      </c>
      <c r="D50" s="199"/>
      <c r="E50" s="105"/>
    </row>
    <row r="51" spans="2:5" ht="36" customHeight="1">
      <c r="B51" s="62"/>
      <c r="C51" s="15" t="s">
        <v>71</v>
      </c>
      <c r="D51" s="200"/>
      <c r="E51" s="105"/>
    </row>
    <row r="52" spans="2:5" ht="36" hidden="1" customHeight="1" outlineLevel="1">
      <c r="B52" s="59" t="s">
        <v>74</v>
      </c>
      <c r="C52" s="60" t="str">
        <f>$B$16</f>
        <v>法人番号（インボイス登録番号）</v>
      </c>
      <c r="D52" s="198" t="s">
        <v>70</v>
      </c>
      <c r="E52" s="105"/>
    </row>
    <row r="53" spans="2:5" ht="36" hidden="1" customHeight="1" outlineLevel="1">
      <c r="B53" s="61"/>
      <c r="C53" s="60" t="str">
        <f>$B$17</f>
        <v>事業者名（企業名）</v>
      </c>
      <c r="D53" s="199"/>
      <c r="E53" s="105"/>
    </row>
    <row r="54" spans="2:5" ht="36" hidden="1" customHeight="1" outlineLevel="1">
      <c r="B54" s="62"/>
      <c r="C54" s="15" t="s">
        <v>71</v>
      </c>
      <c r="D54" s="200"/>
      <c r="E54" s="105"/>
    </row>
    <row r="55" spans="2:5" ht="36" hidden="1" customHeight="1" outlineLevel="1">
      <c r="B55" s="59" t="s">
        <v>75</v>
      </c>
      <c r="C55" s="60" t="str">
        <f>$B$16</f>
        <v>法人番号（インボイス登録番号）</v>
      </c>
      <c r="D55" s="198" t="s">
        <v>70</v>
      </c>
      <c r="E55" s="105"/>
    </row>
    <row r="56" spans="2:5" ht="36" hidden="1" customHeight="1" outlineLevel="1">
      <c r="B56" s="61"/>
      <c r="C56" s="60" t="str">
        <f>$B$17</f>
        <v>事業者名（企業名）</v>
      </c>
      <c r="D56" s="199"/>
      <c r="E56" s="105"/>
    </row>
    <row r="57" spans="2:5" ht="36" hidden="1" customHeight="1" outlineLevel="1">
      <c r="B57" s="62"/>
      <c r="C57" s="15" t="s">
        <v>71</v>
      </c>
      <c r="D57" s="200"/>
      <c r="E57" s="105"/>
    </row>
    <row r="58" spans="2:5" ht="36" hidden="1" customHeight="1" outlineLevel="1">
      <c r="B58" s="59" t="s">
        <v>76</v>
      </c>
      <c r="C58" s="60" t="str">
        <f>$B$16</f>
        <v>法人番号（インボイス登録番号）</v>
      </c>
      <c r="D58" s="198" t="s">
        <v>70</v>
      </c>
      <c r="E58" s="105"/>
    </row>
    <row r="59" spans="2:5" ht="36" hidden="1" customHeight="1" outlineLevel="1">
      <c r="B59" s="61"/>
      <c r="C59" s="60" t="str">
        <f>$B$17</f>
        <v>事業者名（企業名）</v>
      </c>
      <c r="D59" s="199"/>
      <c r="E59" s="105"/>
    </row>
    <row r="60" spans="2:5" ht="36" hidden="1" customHeight="1" outlineLevel="1">
      <c r="B60" s="62"/>
      <c r="C60" s="15" t="s">
        <v>71</v>
      </c>
      <c r="D60" s="200"/>
      <c r="E60" s="105"/>
    </row>
    <row r="61" spans="2:5" ht="36" hidden="1" customHeight="1" outlineLevel="1">
      <c r="B61" s="59" t="s">
        <v>77</v>
      </c>
      <c r="C61" s="60" t="str">
        <f>$B$16</f>
        <v>法人番号（インボイス登録番号）</v>
      </c>
      <c r="D61" s="198" t="s">
        <v>70</v>
      </c>
      <c r="E61" s="105"/>
    </row>
    <row r="62" spans="2:5" ht="36" hidden="1" customHeight="1" outlineLevel="1">
      <c r="B62" s="61"/>
      <c r="C62" s="60" t="str">
        <f>$B$17</f>
        <v>事業者名（企業名）</v>
      </c>
      <c r="D62" s="199"/>
      <c r="E62" s="105"/>
    </row>
    <row r="63" spans="2:5" ht="36" hidden="1" customHeight="1" outlineLevel="1">
      <c r="B63" s="62"/>
      <c r="C63" s="15" t="s">
        <v>71</v>
      </c>
      <c r="D63" s="200"/>
      <c r="E63" s="105"/>
    </row>
    <row r="64" spans="2:5" ht="36" hidden="1" customHeight="1" outlineLevel="1">
      <c r="B64" s="59" t="s">
        <v>78</v>
      </c>
      <c r="C64" s="60" t="str">
        <f>$B$16</f>
        <v>法人番号（インボイス登録番号）</v>
      </c>
      <c r="D64" s="198" t="s">
        <v>70</v>
      </c>
      <c r="E64" s="105"/>
    </row>
    <row r="65" spans="2:8" ht="36" hidden="1" customHeight="1" outlineLevel="1">
      <c r="B65" s="61"/>
      <c r="C65" s="60" t="str">
        <f>$B$17</f>
        <v>事業者名（企業名）</v>
      </c>
      <c r="D65" s="199"/>
      <c r="E65" s="105"/>
    </row>
    <row r="66" spans="2:8" ht="36" hidden="1" customHeight="1" outlineLevel="1">
      <c r="B66" s="62"/>
      <c r="C66" s="15" t="s">
        <v>71</v>
      </c>
      <c r="D66" s="200"/>
      <c r="E66" s="105"/>
    </row>
    <row r="67" spans="2:8" ht="36" hidden="1" customHeight="1" outlineLevel="1">
      <c r="B67" s="59" t="s">
        <v>79</v>
      </c>
      <c r="C67" s="60" t="str">
        <f>$B$16</f>
        <v>法人番号（インボイス登録番号）</v>
      </c>
      <c r="D67" s="198" t="s">
        <v>70</v>
      </c>
      <c r="E67" s="105"/>
    </row>
    <row r="68" spans="2:8" ht="36" hidden="1" customHeight="1" outlineLevel="1">
      <c r="B68" s="61"/>
      <c r="C68" s="60" t="str">
        <f>$B$17</f>
        <v>事業者名（企業名）</v>
      </c>
      <c r="D68" s="199"/>
      <c r="E68" s="105"/>
    </row>
    <row r="69" spans="2:8" ht="36" hidden="1" customHeight="1" outlineLevel="1">
      <c r="B69" s="62"/>
      <c r="C69" s="15" t="s">
        <v>71</v>
      </c>
      <c r="D69" s="200"/>
      <c r="E69" s="105"/>
    </row>
    <row r="70" spans="2:8" ht="18" customHeight="1" collapsed="1">
      <c r="D70" s="9"/>
      <c r="E70" s="9"/>
    </row>
    <row r="71" spans="2:8" ht="18" customHeight="1">
      <c r="B71" s="68" t="s">
        <v>80</v>
      </c>
      <c r="D71" s="9"/>
      <c r="E71" s="9"/>
    </row>
    <row r="72" spans="2:8" ht="36" customHeight="1">
      <c r="B72" s="59" t="s">
        <v>81</v>
      </c>
      <c r="C72" s="60" t="str">
        <f>$B$17</f>
        <v>事業者名（企業名）</v>
      </c>
      <c r="D72" s="28"/>
      <c r="E72" s="365" t="str">
        <f>IF($E$8&lt;&gt;"該当","",$E$17)</f>
        <v/>
      </c>
    </row>
    <row r="73" spans="2:8" ht="36" customHeight="1">
      <c r="B73" s="61"/>
      <c r="C73" s="171" t="s">
        <v>82</v>
      </c>
      <c r="D73" s="340" t="s">
        <v>83</v>
      </c>
      <c r="E73" s="153"/>
    </row>
    <row r="74" spans="2:8" ht="36" customHeight="1">
      <c r="B74" s="61"/>
      <c r="C74" s="171" t="s">
        <v>84</v>
      </c>
      <c r="D74" s="340" t="s">
        <v>85</v>
      </c>
      <c r="E74" s="105"/>
    </row>
    <row r="75" spans="2:8" ht="36" customHeight="1">
      <c r="B75" s="61"/>
      <c r="C75" s="171" t="s">
        <v>86</v>
      </c>
      <c r="D75" s="340" t="s">
        <v>87</v>
      </c>
      <c r="E75" s="105"/>
    </row>
    <row r="76" spans="2:8" ht="36" customHeight="1">
      <c r="B76" s="61"/>
      <c r="C76" s="171" t="s">
        <v>88</v>
      </c>
      <c r="D76" s="340" t="s">
        <v>89</v>
      </c>
      <c r="E76" s="105"/>
    </row>
    <row r="77" spans="2:8" ht="36" customHeight="1">
      <c r="B77" s="62"/>
      <c r="C77" s="171" t="s">
        <v>90</v>
      </c>
      <c r="D77" s="340" t="s">
        <v>91</v>
      </c>
      <c r="E77" s="295"/>
    </row>
    <row r="78" spans="2:8" ht="36" customHeight="1">
      <c r="B78" s="59" t="s">
        <v>69</v>
      </c>
      <c r="C78" s="60" t="str">
        <f>$B$17</f>
        <v>事業者名（企業名）</v>
      </c>
      <c r="D78" s="340"/>
      <c r="E78" s="365" t="str">
        <f>IF($E$8&lt;&gt;"該当","",IF($E$44&lt;&gt;"",$E$44,""))</f>
        <v/>
      </c>
      <c r="H78" s="226"/>
    </row>
    <row r="79" spans="2:8" ht="36" customHeight="1">
      <c r="B79" s="61"/>
      <c r="C79" s="171" t="s">
        <v>82</v>
      </c>
      <c r="D79" s="340" t="s">
        <v>83</v>
      </c>
      <c r="E79" s="153"/>
    </row>
    <row r="80" spans="2:8" ht="36" customHeight="1">
      <c r="B80" s="61"/>
      <c r="C80" s="171" t="s">
        <v>84</v>
      </c>
      <c r="D80" s="340" t="s">
        <v>85</v>
      </c>
      <c r="E80" s="105"/>
    </row>
    <row r="81" spans="2:5" ht="36" customHeight="1">
      <c r="B81" s="61"/>
      <c r="C81" s="171" t="s">
        <v>86</v>
      </c>
      <c r="D81" s="340" t="s">
        <v>87</v>
      </c>
      <c r="E81" s="105"/>
    </row>
    <row r="82" spans="2:5" ht="36" customHeight="1">
      <c r="B82" s="61"/>
      <c r="C82" s="171" t="s">
        <v>88</v>
      </c>
      <c r="D82" s="340" t="s">
        <v>89</v>
      </c>
      <c r="E82" s="105"/>
    </row>
    <row r="83" spans="2:5" ht="36" customHeight="1">
      <c r="B83" s="62"/>
      <c r="C83" s="171" t="s">
        <v>90</v>
      </c>
      <c r="D83" s="340" t="s">
        <v>91</v>
      </c>
      <c r="E83" s="295"/>
    </row>
    <row r="84" spans="2:5" ht="36" customHeight="1">
      <c r="B84" s="59" t="s">
        <v>72</v>
      </c>
      <c r="C84" s="60" t="str">
        <f>$B$17</f>
        <v>事業者名（企業名）</v>
      </c>
      <c r="D84" s="340"/>
      <c r="E84" s="365" t="str">
        <f>IF($E$8&lt;&gt;"該当","",IF($E$47&lt;&gt;"",$E$47,""))</f>
        <v/>
      </c>
    </row>
    <row r="85" spans="2:5" ht="36" customHeight="1">
      <c r="B85" s="61"/>
      <c r="C85" s="171" t="s">
        <v>82</v>
      </c>
      <c r="D85" s="340" t="s">
        <v>83</v>
      </c>
      <c r="E85" s="153"/>
    </row>
    <row r="86" spans="2:5" ht="36" customHeight="1">
      <c r="B86" s="61"/>
      <c r="C86" s="171" t="s">
        <v>84</v>
      </c>
      <c r="D86" s="340" t="s">
        <v>85</v>
      </c>
      <c r="E86" s="105"/>
    </row>
    <row r="87" spans="2:5" ht="36" customHeight="1">
      <c r="B87" s="61"/>
      <c r="C87" s="171" t="s">
        <v>86</v>
      </c>
      <c r="D87" s="340" t="s">
        <v>87</v>
      </c>
      <c r="E87" s="105"/>
    </row>
    <row r="88" spans="2:5" ht="36" customHeight="1">
      <c r="B88" s="61"/>
      <c r="C88" s="171" t="s">
        <v>88</v>
      </c>
      <c r="D88" s="340" t="s">
        <v>89</v>
      </c>
      <c r="E88" s="105"/>
    </row>
    <row r="89" spans="2:5" ht="36" customHeight="1">
      <c r="B89" s="62"/>
      <c r="C89" s="171" t="s">
        <v>90</v>
      </c>
      <c r="D89" s="340" t="s">
        <v>91</v>
      </c>
      <c r="E89" s="295"/>
    </row>
    <row r="90" spans="2:5" ht="36" hidden="1" customHeight="1" outlineLevel="1">
      <c r="B90" s="59" t="s">
        <v>73</v>
      </c>
      <c r="C90" s="60" t="str">
        <f>$B$17</f>
        <v>事業者名（企業名）</v>
      </c>
      <c r="D90" s="340"/>
      <c r="E90" s="366" t="str">
        <f>IF($E$8&lt;&gt;"該当","",IF($E$50&lt;&gt;"",$E$50,""))</f>
        <v/>
      </c>
    </row>
    <row r="91" spans="2:5" ht="36" hidden="1" customHeight="1" outlineLevel="1">
      <c r="B91" s="61"/>
      <c r="C91" s="171" t="s">
        <v>82</v>
      </c>
      <c r="D91" s="340" t="s">
        <v>83</v>
      </c>
      <c r="E91" s="153"/>
    </row>
    <row r="92" spans="2:5" ht="36" hidden="1" customHeight="1" outlineLevel="1">
      <c r="B92" s="61"/>
      <c r="C92" s="171" t="s">
        <v>84</v>
      </c>
      <c r="D92" s="340" t="s">
        <v>85</v>
      </c>
      <c r="E92" s="105"/>
    </row>
    <row r="93" spans="2:5" ht="36" hidden="1" customHeight="1" outlineLevel="1">
      <c r="B93" s="61"/>
      <c r="C93" s="171" t="s">
        <v>86</v>
      </c>
      <c r="D93" s="340" t="s">
        <v>87</v>
      </c>
      <c r="E93" s="105"/>
    </row>
    <row r="94" spans="2:5" ht="36" hidden="1" customHeight="1" outlineLevel="1">
      <c r="B94" s="61"/>
      <c r="C94" s="171" t="s">
        <v>88</v>
      </c>
      <c r="D94" s="340" t="s">
        <v>89</v>
      </c>
      <c r="E94" s="105"/>
    </row>
    <row r="95" spans="2:5" ht="36" hidden="1" customHeight="1" outlineLevel="1">
      <c r="B95" s="62"/>
      <c r="C95" s="171" t="s">
        <v>90</v>
      </c>
      <c r="D95" s="340" t="s">
        <v>91</v>
      </c>
      <c r="E95" s="295"/>
    </row>
    <row r="96" spans="2:5" ht="36" hidden="1" customHeight="1" outlineLevel="1">
      <c r="B96" s="59" t="s">
        <v>74</v>
      </c>
      <c r="C96" s="60" t="str">
        <f>$B$17</f>
        <v>事業者名（企業名）</v>
      </c>
      <c r="D96" s="340"/>
      <c r="E96" s="365" t="str">
        <f>IF($E$8&lt;&gt;"該当","",IF($E$53&lt;&gt;"",$E$53,""))</f>
        <v/>
      </c>
    </row>
    <row r="97" spans="2:5" ht="36" hidden="1" customHeight="1" outlineLevel="1">
      <c r="B97" s="61"/>
      <c r="C97" s="171" t="s">
        <v>82</v>
      </c>
      <c r="D97" s="340" t="s">
        <v>83</v>
      </c>
      <c r="E97" s="153"/>
    </row>
    <row r="98" spans="2:5" ht="36" hidden="1" customHeight="1" outlineLevel="1">
      <c r="B98" s="61"/>
      <c r="C98" s="171" t="s">
        <v>84</v>
      </c>
      <c r="D98" s="340" t="s">
        <v>85</v>
      </c>
      <c r="E98" s="105"/>
    </row>
    <row r="99" spans="2:5" ht="36" hidden="1" customHeight="1" outlineLevel="1">
      <c r="B99" s="61"/>
      <c r="C99" s="171" t="s">
        <v>86</v>
      </c>
      <c r="D99" s="340" t="s">
        <v>87</v>
      </c>
      <c r="E99" s="105"/>
    </row>
    <row r="100" spans="2:5" ht="36" hidden="1" customHeight="1" outlineLevel="1">
      <c r="B100" s="61"/>
      <c r="C100" s="171" t="s">
        <v>88</v>
      </c>
      <c r="D100" s="340" t="s">
        <v>89</v>
      </c>
      <c r="E100" s="105"/>
    </row>
    <row r="101" spans="2:5" ht="36" hidden="1" customHeight="1" outlineLevel="1">
      <c r="B101" s="62"/>
      <c r="C101" s="171" t="s">
        <v>90</v>
      </c>
      <c r="D101" s="340" t="s">
        <v>91</v>
      </c>
      <c r="E101" s="295"/>
    </row>
    <row r="102" spans="2:5" ht="36" hidden="1" customHeight="1" outlineLevel="1">
      <c r="B102" s="59" t="s">
        <v>75</v>
      </c>
      <c r="C102" s="60" t="str">
        <f>$B$17</f>
        <v>事業者名（企業名）</v>
      </c>
      <c r="D102" s="340"/>
      <c r="E102" s="365" t="str">
        <f>IF($E$8&lt;&gt;"該当","",IF($E$56&lt;&gt;"",$E$56,""))</f>
        <v/>
      </c>
    </row>
    <row r="103" spans="2:5" ht="36" hidden="1" customHeight="1" outlineLevel="1">
      <c r="B103" s="61"/>
      <c r="C103" s="171" t="s">
        <v>82</v>
      </c>
      <c r="D103" s="340" t="s">
        <v>83</v>
      </c>
      <c r="E103" s="153"/>
    </row>
    <row r="104" spans="2:5" ht="36" hidden="1" customHeight="1" outlineLevel="1">
      <c r="B104" s="61"/>
      <c r="C104" s="171" t="s">
        <v>84</v>
      </c>
      <c r="D104" s="340" t="s">
        <v>85</v>
      </c>
      <c r="E104" s="105"/>
    </row>
    <row r="105" spans="2:5" ht="36" hidden="1" customHeight="1" outlineLevel="1">
      <c r="B105" s="61"/>
      <c r="C105" s="171" t="s">
        <v>86</v>
      </c>
      <c r="D105" s="340" t="s">
        <v>87</v>
      </c>
      <c r="E105" s="105"/>
    </row>
    <row r="106" spans="2:5" ht="36" hidden="1" customHeight="1" outlineLevel="1">
      <c r="B106" s="61"/>
      <c r="C106" s="171" t="s">
        <v>88</v>
      </c>
      <c r="D106" s="340" t="s">
        <v>89</v>
      </c>
      <c r="E106" s="105"/>
    </row>
    <row r="107" spans="2:5" ht="36" hidden="1" customHeight="1" outlineLevel="1">
      <c r="B107" s="62"/>
      <c r="C107" s="171" t="s">
        <v>90</v>
      </c>
      <c r="D107" s="340" t="s">
        <v>91</v>
      </c>
      <c r="E107" s="295"/>
    </row>
    <row r="108" spans="2:5" ht="36" hidden="1" customHeight="1" outlineLevel="1">
      <c r="B108" s="59" t="s">
        <v>76</v>
      </c>
      <c r="C108" s="60" t="str">
        <f>$B$17</f>
        <v>事業者名（企業名）</v>
      </c>
      <c r="D108" s="340"/>
      <c r="E108" s="366" t="str">
        <f>IF($E$8&lt;&gt;"該当","",IF($E$59&lt;&gt;"",$E$59,""))</f>
        <v/>
      </c>
    </row>
    <row r="109" spans="2:5" ht="36" hidden="1" customHeight="1" outlineLevel="1">
      <c r="B109" s="61"/>
      <c r="C109" s="171" t="s">
        <v>82</v>
      </c>
      <c r="D109" s="340" t="s">
        <v>83</v>
      </c>
      <c r="E109" s="153"/>
    </row>
    <row r="110" spans="2:5" ht="36" hidden="1" customHeight="1" outlineLevel="1">
      <c r="B110" s="61"/>
      <c r="C110" s="171" t="s">
        <v>84</v>
      </c>
      <c r="D110" s="340" t="s">
        <v>85</v>
      </c>
      <c r="E110" s="105"/>
    </row>
    <row r="111" spans="2:5" ht="36" hidden="1" customHeight="1" outlineLevel="1">
      <c r="B111" s="61"/>
      <c r="C111" s="171" t="s">
        <v>86</v>
      </c>
      <c r="D111" s="340" t="s">
        <v>87</v>
      </c>
      <c r="E111" s="105"/>
    </row>
    <row r="112" spans="2:5" ht="36" hidden="1" customHeight="1" outlineLevel="1">
      <c r="B112" s="61"/>
      <c r="C112" s="171" t="s">
        <v>88</v>
      </c>
      <c r="D112" s="340" t="s">
        <v>89</v>
      </c>
      <c r="E112" s="105"/>
    </row>
    <row r="113" spans="2:5" ht="36" hidden="1" customHeight="1" outlineLevel="1">
      <c r="B113" s="62"/>
      <c r="C113" s="171" t="s">
        <v>90</v>
      </c>
      <c r="D113" s="340" t="s">
        <v>91</v>
      </c>
      <c r="E113" s="295"/>
    </row>
    <row r="114" spans="2:5" ht="36" hidden="1" customHeight="1" outlineLevel="1">
      <c r="B114" s="59" t="s">
        <v>77</v>
      </c>
      <c r="C114" s="60" t="str">
        <f>$B$17</f>
        <v>事業者名（企業名）</v>
      </c>
      <c r="D114" s="340"/>
      <c r="E114" s="365" t="str">
        <f>IF($E$8&lt;&gt;"該当","",IF($E$62&lt;&gt;"",$E$62,""))</f>
        <v/>
      </c>
    </row>
    <row r="115" spans="2:5" ht="36" hidden="1" customHeight="1" outlineLevel="1">
      <c r="B115" s="61"/>
      <c r="C115" s="171" t="s">
        <v>82</v>
      </c>
      <c r="D115" s="340" t="s">
        <v>83</v>
      </c>
      <c r="E115" s="153"/>
    </row>
    <row r="116" spans="2:5" ht="36" hidden="1" customHeight="1" outlineLevel="1">
      <c r="B116" s="61"/>
      <c r="C116" s="171" t="s">
        <v>84</v>
      </c>
      <c r="D116" s="340" t="s">
        <v>85</v>
      </c>
      <c r="E116" s="105"/>
    </row>
    <row r="117" spans="2:5" ht="36" hidden="1" customHeight="1" outlineLevel="1">
      <c r="B117" s="61"/>
      <c r="C117" s="171" t="s">
        <v>86</v>
      </c>
      <c r="D117" s="340" t="s">
        <v>87</v>
      </c>
      <c r="E117" s="105"/>
    </row>
    <row r="118" spans="2:5" ht="36" hidden="1" customHeight="1" outlineLevel="1">
      <c r="B118" s="61"/>
      <c r="C118" s="171" t="s">
        <v>88</v>
      </c>
      <c r="D118" s="340" t="s">
        <v>89</v>
      </c>
      <c r="E118" s="105"/>
    </row>
    <row r="119" spans="2:5" ht="36" hidden="1" customHeight="1" outlineLevel="1">
      <c r="B119" s="62"/>
      <c r="C119" s="171" t="s">
        <v>90</v>
      </c>
      <c r="D119" s="340" t="s">
        <v>91</v>
      </c>
      <c r="E119" s="295"/>
    </row>
    <row r="120" spans="2:5" ht="36" hidden="1" customHeight="1" outlineLevel="1">
      <c r="B120" s="59" t="s">
        <v>78</v>
      </c>
      <c r="C120" s="60" t="str">
        <f>$B$17</f>
        <v>事業者名（企業名）</v>
      </c>
      <c r="D120" s="340"/>
      <c r="E120" s="366" t="str">
        <f>IF($E$8&lt;&gt;"該当","",IF($E$65&lt;&gt;"",$E$65,""))</f>
        <v/>
      </c>
    </row>
    <row r="121" spans="2:5" ht="36" hidden="1" customHeight="1" outlineLevel="1">
      <c r="B121" s="61"/>
      <c r="C121" s="171" t="s">
        <v>82</v>
      </c>
      <c r="D121" s="340" t="s">
        <v>83</v>
      </c>
      <c r="E121" s="153"/>
    </row>
    <row r="122" spans="2:5" ht="36" hidden="1" customHeight="1" outlineLevel="1">
      <c r="B122" s="61"/>
      <c r="C122" s="171" t="s">
        <v>84</v>
      </c>
      <c r="D122" s="340" t="s">
        <v>85</v>
      </c>
      <c r="E122" s="105"/>
    </row>
    <row r="123" spans="2:5" ht="36" hidden="1" customHeight="1" outlineLevel="1">
      <c r="B123" s="61"/>
      <c r="C123" s="171" t="s">
        <v>86</v>
      </c>
      <c r="D123" s="340" t="s">
        <v>87</v>
      </c>
      <c r="E123" s="105"/>
    </row>
    <row r="124" spans="2:5" ht="36" hidden="1" customHeight="1" outlineLevel="1">
      <c r="B124" s="61"/>
      <c r="C124" s="171" t="s">
        <v>88</v>
      </c>
      <c r="D124" s="340" t="s">
        <v>89</v>
      </c>
      <c r="E124" s="105"/>
    </row>
    <row r="125" spans="2:5" ht="36" hidden="1" customHeight="1" outlineLevel="1">
      <c r="B125" s="62"/>
      <c r="C125" s="171" t="s">
        <v>90</v>
      </c>
      <c r="D125" s="340" t="s">
        <v>91</v>
      </c>
      <c r="E125" s="295"/>
    </row>
    <row r="126" spans="2:5" ht="36" hidden="1" customHeight="1" outlineLevel="1">
      <c r="B126" s="59" t="s">
        <v>79</v>
      </c>
      <c r="C126" s="60" t="str">
        <f>$B$17</f>
        <v>事業者名（企業名）</v>
      </c>
      <c r="D126" s="340"/>
      <c r="E126" s="365" t="str">
        <f>IF($E$8&lt;&gt;"該当","",IF($E$68&lt;&gt;"",$E$68,""))</f>
        <v/>
      </c>
    </row>
    <row r="127" spans="2:5" ht="36" hidden="1" customHeight="1" outlineLevel="1">
      <c r="B127" s="61"/>
      <c r="C127" s="171" t="s">
        <v>82</v>
      </c>
      <c r="D127" s="340" t="s">
        <v>83</v>
      </c>
      <c r="E127" s="153"/>
    </row>
    <row r="128" spans="2:5" ht="36" hidden="1" customHeight="1" outlineLevel="1">
      <c r="B128" s="61"/>
      <c r="C128" s="171" t="s">
        <v>84</v>
      </c>
      <c r="D128" s="340" t="s">
        <v>85</v>
      </c>
      <c r="E128" s="105"/>
    </row>
    <row r="129" spans="2:5" ht="36" hidden="1" customHeight="1" outlineLevel="1">
      <c r="B129" s="61"/>
      <c r="C129" s="171" t="s">
        <v>86</v>
      </c>
      <c r="D129" s="340" t="s">
        <v>87</v>
      </c>
      <c r="E129" s="105"/>
    </row>
    <row r="130" spans="2:5" ht="36" hidden="1" customHeight="1" outlineLevel="1">
      <c r="B130" s="61"/>
      <c r="C130" s="171" t="s">
        <v>88</v>
      </c>
      <c r="D130" s="340" t="s">
        <v>89</v>
      </c>
      <c r="E130" s="105"/>
    </row>
    <row r="131" spans="2:5" ht="36" hidden="1" customHeight="1" outlineLevel="1">
      <c r="B131" s="62"/>
      <c r="C131" s="171" t="s">
        <v>90</v>
      </c>
      <c r="D131" s="340" t="s">
        <v>91</v>
      </c>
      <c r="E131" s="295"/>
    </row>
    <row r="132" spans="2:5" ht="18" customHeight="1" collapsed="1">
      <c r="C132" s="341"/>
      <c r="D132" s="342"/>
    </row>
    <row r="133" spans="2:5" ht="18" customHeight="1">
      <c r="B133" s="150" t="s">
        <v>92</v>
      </c>
    </row>
    <row r="134" spans="2:5" ht="36" customHeight="1">
      <c r="B134" s="222" t="s">
        <v>93</v>
      </c>
      <c r="C134" s="19" t="s">
        <v>94</v>
      </c>
      <c r="D134" s="215"/>
      <c r="E134" s="105"/>
    </row>
    <row r="135" spans="2:5" ht="36" customHeight="1">
      <c r="B135" s="223"/>
      <c r="C135" s="19" t="s">
        <v>95</v>
      </c>
      <c r="D135" s="215" t="s">
        <v>96</v>
      </c>
      <c r="E135" s="105"/>
    </row>
    <row r="136" spans="2:5" ht="36" customHeight="1">
      <c r="B136" s="222" t="s">
        <v>97</v>
      </c>
      <c r="C136" s="19" t="s">
        <v>94</v>
      </c>
      <c r="D136" s="215"/>
      <c r="E136" s="105"/>
    </row>
    <row r="137" spans="2:5" ht="36" customHeight="1">
      <c r="B137" s="223"/>
      <c r="C137" s="19" t="s">
        <v>95</v>
      </c>
      <c r="D137" s="215" t="s">
        <v>96</v>
      </c>
      <c r="E137" s="105"/>
    </row>
    <row r="138" spans="2:5" ht="36" customHeight="1">
      <c r="B138" s="222" t="s">
        <v>98</v>
      </c>
      <c r="C138" s="19" t="s">
        <v>94</v>
      </c>
      <c r="D138" s="215"/>
      <c r="E138" s="105"/>
    </row>
    <row r="139" spans="2:5" ht="36" customHeight="1">
      <c r="B139" s="223"/>
      <c r="C139" s="19" t="s">
        <v>95</v>
      </c>
      <c r="D139" s="215" t="s">
        <v>96</v>
      </c>
      <c r="E139" s="105"/>
    </row>
    <row r="140" spans="2:5" ht="36" hidden="1" customHeight="1" outlineLevel="1">
      <c r="B140" s="222" t="s">
        <v>99</v>
      </c>
      <c r="C140" s="19" t="s">
        <v>94</v>
      </c>
      <c r="D140" s="215"/>
      <c r="E140" s="105"/>
    </row>
    <row r="141" spans="2:5" ht="36" hidden="1" customHeight="1" outlineLevel="1">
      <c r="B141" s="223"/>
      <c r="C141" s="19" t="s">
        <v>95</v>
      </c>
      <c r="D141" s="215" t="s">
        <v>96</v>
      </c>
      <c r="E141" s="105"/>
    </row>
    <row r="142" spans="2:5" ht="36" hidden="1" customHeight="1" outlineLevel="1">
      <c r="B142" s="222" t="s">
        <v>100</v>
      </c>
      <c r="C142" s="19" t="s">
        <v>94</v>
      </c>
      <c r="D142" s="215"/>
      <c r="E142" s="105"/>
    </row>
    <row r="143" spans="2:5" ht="36" hidden="1" customHeight="1" outlineLevel="1">
      <c r="B143" s="223"/>
      <c r="C143" s="19" t="s">
        <v>95</v>
      </c>
      <c r="D143" s="215" t="s">
        <v>96</v>
      </c>
      <c r="E143" s="105"/>
    </row>
    <row r="144" spans="2:5" ht="36" hidden="1" customHeight="1" outlineLevel="1">
      <c r="B144" s="222" t="s">
        <v>101</v>
      </c>
      <c r="C144" s="19" t="s">
        <v>94</v>
      </c>
      <c r="D144" s="215"/>
      <c r="E144" s="105"/>
    </row>
    <row r="145" spans="2:5" ht="36" hidden="1" customHeight="1" outlineLevel="1">
      <c r="B145" s="223"/>
      <c r="C145" s="19" t="s">
        <v>95</v>
      </c>
      <c r="D145" s="215" t="s">
        <v>96</v>
      </c>
      <c r="E145" s="105"/>
    </row>
    <row r="146" spans="2:5" ht="36" hidden="1" customHeight="1" outlineLevel="1">
      <c r="B146" s="222" t="s">
        <v>102</v>
      </c>
      <c r="C146" s="19" t="s">
        <v>94</v>
      </c>
      <c r="D146" s="215"/>
      <c r="E146" s="105"/>
    </row>
    <row r="147" spans="2:5" ht="36" hidden="1" customHeight="1" outlineLevel="1">
      <c r="B147" s="223"/>
      <c r="C147" s="19" t="s">
        <v>95</v>
      </c>
      <c r="D147" s="215" t="s">
        <v>96</v>
      </c>
      <c r="E147" s="105"/>
    </row>
    <row r="148" spans="2:5" ht="36" hidden="1" customHeight="1" outlineLevel="1">
      <c r="B148" s="222" t="s">
        <v>103</v>
      </c>
      <c r="C148" s="19" t="s">
        <v>94</v>
      </c>
      <c r="D148" s="215"/>
      <c r="E148" s="105"/>
    </row>
    <row r="149" spans="2:5" ht="36" hidden="1" customHeight="1" outlineLevel="1">
      <c r="B149" s="223"/>
      <c r="C149" s="19" t="s">
        <v>95</v>
      </c>
      <c r="D149" s="215" t="s">
        <v>96</v>
      </c>
      <c r="E149" s="105"/>
    </row>
    <row r="150" spans="2:5" ht="36" hidden="1" customHeight="1" outlineLevel="1">
      <c r="B150" s="222" t="s">
        <v>104</v>
      </c>
      <c r="C150" s="19" t="s">
        <v>94</v>
      </c>
      <c r="D150" s="215"/>
      <c r="E150" s="105"/>
    </row>
    <row r="151" spans="2:5" ht="36" hidden="1" customHeight="1" outlineLevel="1">
      <c r="B151" s="223"/>
      <c r="C151" s="19" t="s">
        <v>95</v>
      </c>
      <c r="D151" s="215" t="s">
        <v>96</v>
      </c>
      <c r="E151" s="105"/>
    </row>
    <row r="152" spans="2:5" ht="36" hidden="1" customHeight="1" outlineLevel="1">
      <c r="B152" s="222" t="s">
        <v>105</v>
      </c>
      <c r="C152" s="19" t="s">
        <v>94</v>
      </c>
      <c r="D152" s="215"/>
      <c r="E152" s="105"/>
    </row>
    <row r="153" spans="2:5" ht="36" hidden="1" customHeight="1" outlineLevel="1">
      <c r="B153" s="223"/>
      <c r="C153" s="19" t="s">
        <v>95</v>
      </c>
      <c r="D153" s="215" t="s">
        <v>96</v>
      </c>
      <c r="E153" s="105"/>
    </row>
    <row r="154" spans="2:5" ht="18" customHeight="1" collapsed="1">
      <c r="B154" s="6"/>
      <c r="C154" s="6"/>
      <c r="D154" s="2"/>
      <c r="E154" s="6"/>
    </row>
    <row r="155" spans="2:5" ht="18" customHeight="1">
      <c r="B155" s="68" t="s">
        <v>106</v>
      </c>
      <c r="C155" s="6"/>
      <c r="D155" s="2"/>
      <c r="E155" s="6"/>
    </row>
    <row r="156" spans="2:5" ht="36" customHeight="1">
      <c r="B156" s="19" t="s">
        <v>107</v>
      </c>
      <c r="C156" s="19" t="s">
        <v>108</v>
      </c>
      <c r="D156" s="187"/>
      <c r="E156" s="105"/>
    </row>
    <row r="157" spans="2:5" ht="36" customHeight="1">
      <c r="B157" s="19" t="s">
        <v>109</v>
      </c>
      <c r="C157" s="19" t="s">
        <v>108</v>
      </c>
      <c r="D157" s="187"/>
      <c r="E157" s="105"/>
    </row>
    <row r="158" spans="2:5" ht="36" customHeight="1">
      <c r="B158" s="19" t="s">
        <v>110</v>
      </c>
      <c r="C158" s="19" t="s">
        <v>108</v>
      </c>
      <c r="D158" s="187"/>
      <c r="E158" s="105"/>
    </row>
    <row r="159" spans="2:5" ht="36" hidden="1" customHeight="1" outlineLevel="1">
      <c r="B159" s="19" t="s">
        <v>111</v>
      </c>
      <c r="C159" s="19" t="s">
        <v>108</v>
      </c>
      <c r="D159" s="187"/>
      <c r="E159" s="105"/>
    </row>
    <row r="160" spans="2:5" ht="36" hidden="1" customHeight="1" outlineLevel="1">
      <c r="B160" s="19" t="s">
        <v>112</v>
      </c>
      <c r="C160" s="19" t="s">
        <v>108</v>
      </c>
      <c r="D160" s="187"/>
      <c r="E160" s="105"/>
    </row>
    <row r="161" spans="2:6" ht="36" hidden="1" customHeight="1" outlineLevel="1">
      <c r="B161" s="19" t="s">
        <v>113</v>
      </c>
      <c r="C161" s="19" t="s">
        <v>108</v>
      </c>
      <c r="D161" s="187"/>
      <c r="E161" s="105"/>
    </row>
    <row r="162" spans="2:6" ht="36" hidden="1" customHeight="1" outlineLevel="1">
      <c r="B162" s="19" t="s">
        <v>114</v>
      </c>
      <c r="C162" s="19" t="s">
        <v>108</v>
      </c>
      <c r="D162" s="187"/>
      <c r="E162" s="105"/>
    </row>
    <row r="163" spans="2:6" ht="36" hidden="1" customHeight="1" outlineLevel="1">
      <c r="B163" s="19" t="s">
        <v>115</v>
      </c>
      <c r="C163" s="19" t="s">
        <v>108</v>
      </c>
      <c r="D163" s="187"/>
      <c r="E163" s="105"/>
    </row>
    <row r="164" spans="2:6" ht="36" hidden="1" customHeight="1" outlineLevel="1">
      <c r="B164" s="19" t="s">
        <v>116</v>
      </c>
      <c r="C164" s="19" t="s">
        <v>108</v>
      </c>
      <c r="D164" s="187"/>
      <c r="E164" s="105"/>
    </row>
    <row r="165" spans="2:6" ht="36" hidden="1" customHeight="1" outlineLevel="1">
      <c r="B165" s="19" t="s">
        <v>117</v>
      </c>
      <c r="C165" s="19" t="s">
        <v>108</v>
      </c>
      <c r="D165" s="187"/>
      <c r="E165" s="105"/>
    </row>
    <row r="166" spans="2:6" ht="18" customHeight="1" collapsed="1">
      <c r="B166" s="6"/>
      <c r="C166" s="6"/>
      <c r="D166" s="2"/>
      <c r="E166" s="6"/>
    </row>
    <row r="167" spans="2:6" ht="18" customHeight="1">
      <c r="B167" s="68" t="s">
        <v>118</v>
      </c>
      <c r="C167" s="6"/>
      <c r="D167" s="2"/>
      <c r="E167" s="6"/>
    </row>
    <row r="168" spans="2:6" ht="36" customHeight="1">
      <c r="B168" s="224" t="s">
        <v>81</v>
      </c>
      <c r="C168" s="19" t="s">
        <v>94</v>
      </c>
      <c r="D168" s="225"/>
      <c r="E168" s="346" t="str">
        <f>IF($E$12&lt;&gt;"該当","",$E$17)</f>
        <v/>
      </c>
      <c r="F168" s="226"/>
    </row>
    <row r="169" spans="2:6" ht="36" customHeight="1">
      <c r="B169" s="227"/>
      <c r="C169" s="19" t="s">
        <v>119</v>
      </c>
      <c r="D169" s="225" t="s">
        <v>120</v>
      </c>
      <c r="E169" s="360"/>
    </row>
    <row r="170" spans="2:6" ht="36" customHeight="1">
      <c r="B170" s="227"/>
      <c r="C170" s="19" t="s">
        <v>121</v>
      </c>
      <c r="D170" s="225" t="s">
        <v>120</v>
      </c>
      <c r="E170" s="360"/>
    </row>
    <row r="171" spans="2:6" ht="36" customHeight="1">
      <c r="B171" s="227"/>
      <c r="C171" s="19" t="s">
        <v>122</v>
      </c>
      <c r="D171" s="225" t="s">
        <v>123</v>
      </c>
      <c r="E171" s="360"/>
    </row>
    <row r="172" spans="2:6" ht="36" customHeight="1">
      <c r="B172" s="55"/>
      <c r="C172" s="19" t="s">
        <v>124</v>
      </c>
      <c r="D172" s="225" t="s">
        <v>123</v>
      </c>
      <c r="E172" s="360"/>
    </row>
    <row r="173" spans="2:6" ht="36" customHeight="1">
      <c r="B173" s="224" t="s">
        <v>69</v>
      </c>
      <c r="C173" s="19" t="s">
        <v>94</v>
      </c>
      <c r="D173" s="225"/>
      <c r="E173" s="346" t="str">
        <f>IF($E$12&lt;&gt;"該当","",IF($E$44&lt;&gt;"",$E$44,""))</f>
        <v/>
      </c>
    </row>
    <row r="174" spans="2:6" ht="36" customHeight="1">
      <c r="B174" s="227"/>
      <c r="C174" s="19" t="s">
        <v>119</v>
      </c>
      <c r="D174" s="225" t="s">
        <v>120</v>
      </c>
      <c r="E174" s="360"/>
    </row>
    <row r="175" spans="2:6" ht="36" customHeight="1">
      <c r="B175" s="227"/>
      <c r="C175" s="19" t="s">
        <v>121</v>
      </c>
      <c r="D175" s="225" t="s">
        <v>120</v>
      </c>
      <c r="E175" s="360"/>
    </row>
    <row r="176" spans="2:6" ht="36" customHeight="1">
      <c r="B176" s="227"/>
      <c r="C176" s="19" t="s">
        <v>122</v>
      </c>
      <c r="D176" s="225" t="s">
        <v>123</v>
      </c>
      <c r="E176" s="360"/>
    </row>
    <row r="177" spans="2:5" ht="36" customHeight="1">
      <c r="B177" s="55"/>
      <c r="C177" s="19" t="s">
        <v>124</v>
      </c>
      <c r="D177" s="225" t="s">
        <v>123</v>
      </c>
      <c r="E177" s="360"/>
    </row>
    <row r="178" spans="2:5" ht="36" customHeight="1">
      <c r="B178" s="224" t="s">
        <v>72</v>
      </c>
      <c r="C178" s="19" t="s">
        <v>94</v>
      </c>
      <c r="D178" s="225"/>
      <c r="E178" s="346" t="str">
        <f>IF($E$12&lt;&gt;"該当","",IF($E$47&lt;&gt;"",$E$47,""))</f>
        <v/>
      </c>
    </row>
    <row r="179" spans="2:5" ht="36" customHeight="1">
      <c r="B179" s="227"/>
      <c r="C179" s="19" t="s">
        <v>119</v>
      </c>
      <c r="D179" s="225" t="s">
        <v>120</v>
      </c>
      <c r="E179" s="360"/>
    </row>
    <row r="180" spans="2:5" ht="36" customHeight="1">
      <c r="B180" s="227"/>
      <c r="C180" s="19" t="s">
        <v>121</v>
      </c>
      <c r="D180" s="225" t="s">
        <v>120</v>
      </c>
      <c r="E180" s="360"/>
    </row>
    <row r="181" spans="2:5" ht="36" customHeight="1">
      <c r="B181" s="227"/>
      <c r="C181" s="19" t="s">
        <v>122</v>
      </c>
      <c r="D181" s="225" t="s">
        <v>123</v>
      </c>
      <c r="E181" s="360"/>
    </row>
    <row r="182" spans="2:5" ht="36" customHeight="1">
      <c r="B182" s="55"/>
      <c r="C182" s="19" t="s">
        <v>124</v>
      </c>
      <c r="D182" s="225" t="s">
        <v>123</v>
      </c>
      <c r="E182" s="360"/>
    </row>
    <row r="183" spans="2:5" ht="36" hidden="1" customHeight="1" outlineLevel="1">
      <c r="B183" s="224" t="s">
        <v>73</v>
      </c>
      <c r="C183" s="19" t="s">
        <v>94</v>
      </c>
      <c r="D183" s="225"/>
      <c r="E183" s="346" t="str">
        <f>IF($E$12&lt;&gt;"該当","",IF($E$50&lt;&gt;"",$E$50,""))</f>
        <v/>
      </c>
    </row>
    <row r="184" spans="2:5" ht="36" hidden="1" customHeight="1" outlineLevel="1">
      <c r="B184" s="227"/>
      <c r="C184" s="19" t="s">
        <v>119</v>
      </c>
      <c r="D184" s="225" t="s">
        <v>120</v>
      </c>
      <c r="E184" s="360"/>
    </row>
    <row r="185" spans="2:5" ht="36" hidden="1" customHeight="1" outlineLevel="1">
      <c r="B185" s="227"/>
      <c r="C185" s="19" t="s">
        <v>121</v>
      </c>
      <c r="D185" s="225" t="s">
        <v>120</v>
      </c>
      <c r="E185" s="360"/>
    </row>
    <row r="186" spans="2:5" ht="36" hidden="1" customHeight="1" outlineLevel="1">
      <c r="B186" s="227"/>
      <c r="C186" s="19" t="s">
        <v>122</v>
      </c>
      <c r="D186" s="225" t="s">
        <v>123</v>
      </c>
      <c r="E186" s="360"/>
    </row>
    <row r="187" spans="2:5" ht="36" hidden="1" customHeight="1" outlineLevel="1">
      <c r="B187" s="55"/>
      <c r="C187" s="19" t="s">
        <v>124</v>
      </c>
      <c r="D187" s="225" t="s">
        <v>123</v>
      </c>
      <c r="E187" s="360"/>
    </row>
    <row r="188" spans="2:5" ht="36" hidden="1" customHeight="1" outlineLevel="1">
      <c r="B188" s="224" t="s">
        <v>74</v>
      </c>
      <c r="C188" s="19" t="s">
        <v>94</v>
      </c>
      <c r="D188" s="225"/>
      <c r="E188" s="346" t="str">
        <f>IF($E$12&lt;&gt;"該当","",IF($E$53&lt;&gt;"",$E$53,""))</f>
        <v/>
      </c>
    </row>
    <row r="189" spans="2:5" ht="36" hidden="1" customHeight="1" outlineLevel="1">
      <c r="B189" s="227"/>
      <c r="C189" s="19" t="s">
        <v>119</v>
      </c>
      <c r="D189" s="225" t="s">
        <v>120</v>
      </c>
      <c r="E189" s="360"/>
    </row>
    <row r="190" spans="2:5" ht="36" hidden="1" customHeight="1" outlineLevel="1">
      <c r="B190" s="227"/>
      <c r="C190" s="19" t="s">
        <v>121</v>
      </c>
      <c r="D190" s="225" t="s">
        <v>120</v>
      </c>
      <c r="E190" s="360"/>
    </row>
    <row r="191" spans="2:5" ht="36" hidden="1" customHeight="1" outlineLevel="1">
      <c r="B191" s="227"/>
      <c r="C191" s="19" t="s">
        <v>122</v>
      </c>
      <c r="D191" s="225" t="s">
        <v>123</v>
      </c>
      <c r="E191" s="360"/>
    </row>
    <row r="192" spans="2:5" ht="36" hidden="1" customHeight="1" outlineLevel="1">
      <c r="B192" s="55"/>
      <c r="C192" s="19" t="s">
        <v>124</v>
      </c>
      <c r="D192" s="225" t="s">
        <v>123</v>
      </c>
      <c r="E192" s="360"/>
    </row>
    <row r="193" spans="2:5" ht="36" hidden="1" customHeight="1" outlineLevel="1">
      <c r="B193" s="224" t="s">
        <v>75</v>
      </c>
      <c r="C193" s="19" t="s">
        <v>94</v>
      </c>
      <c r="D193" s="225"/>
      <c r="E193" s="346" t="str">
        <f>IF($E$12&lt;&gt;"該当","",IF($E$56&lt;&gt;"",$E$56,""))</f>
        <v/>
      </c>
    </row>
    <row r="194" spans="2:5" ht="36" hidden="1" customHeight="1" outlineLevel="1">
      <c r="B194" s="61"/>
      <c r="C194" s="19" t="s">
        <v>119</v>
      </c>
      <c r="D194" s="225" t="s">
        <v>120</v>
      </c>
      <c r="E194" s="360"/>
    </row>
    <row r="195" spans="2:5" ht="36" hidden="1" customHeight="1" outlineLevel="1">
      <c r="B195" s="61"/>
      <c r="C195" s="19" t="s">
        <v>121</v>
      </c>
      <c r="D195" s="225" t="s">
        <v>120</v>
      </c>
      <c r="E195" s="360"/>
    </row>
    <row r="196" spans="2:5" ht="36" hidden="1" customHeight="1" outlineLevel="1">
      <c r="B196" s="61"/>
      <c r="C196" s="19" t="s">
        <v>122</v>
      </c>
      <c r="D196" s="225" t="s">
        <v>123</v>
      </c>
      <c r="E196" s="360"/>
    </row>
    <row r="197" spans="2:5" ht="36" hidden="1" customHeight="1" outlineLevel="1">
      <c r="B197" s="55"/>
      <c r="C197" s="19" t="s">
        <v>124</v>
      </c>
      <c r="D197" s="225" t="s">
        <v>123</v>
      </c>
      <c r="E197" s="360"/>
    </row>
    <row r="198" spans="2:5" ht="36" hidden="1" customHeight="1" outlineLevel="1">
      <c r="B198" s="224" t="s">
        <v>76</v>
      </c>
      <c r="C198" s="19" t="s">
        <v>94</v>
      </c>
      <c r="D198" s="225"/>
      <c r="E198" s="346" t="str">
        <f>IF($E$12&lt;&gt;"該当","",IF($E$59&lt;&gt;"",$E$59,""))</f>
        <v/>
      </c>
    </row>
    <row r="199" spans="2:5" ht="36" hidden="1" customHeight="1" outlineLevel="1">
      <c r="B199" s="227"/>
      <c r="C199" s="19" t="s">
        <v>119</v>
      </c>
      <c r="D199" s="225" t="s">
        <v>120</v>
      </c>
      <c r="E199" s="360"/>
    </row>
    <row r="200" spans="2:5" ht="36" hidden="1" customHeight="1" outlineLevel="1">
      <c r="B200" s="227"/>
      <c r="C200" s="19" t="s">
        <v>121</v>
      </c>
      <c r="D200" s="225" t="s">
        <v>120</v>
      </c>
      <c r="E200" s="360"/>
    </row>
    <row r="201" spans="2:5" ht="36" hidden="1" customHeight="1" outlineLevel="1">
      <c r="B201" s="227"/>
      <c r="C201" s="19" t="s">
        <v>122</v>
      </c>
      <c r="D201" s="225" t="s">
        <v>123</v>
      </c>
      <c r="E201" s="360"/>
    </row>
    <row r="202" spans="2:5" ht="36" hidden="1" customHeight="1" outlineLevel="1">
      <c r="B202" s="55"/>
      <c r="C202" s="19" t="s">
        <v>124</v>
      </c>
      <c r="D202" s="225" t="s">
        <v>123</v>
      </c>
      <c r="E202" s="360"/>
    </row>
    <row r="203" spans="2:5" ht="36" hidden="1" customHeight="1" outlineLevel="1">
      <c r="B203" s="224" t="s">
        <v>77</v>
      </c>
      <c r="C203" s="19" t="s">
        <v>94</v>
      </c>
      <c r="D203" s="225"/>
      <c r="E203" s="346" t="str">
        <f>IF($E$12&lt;&gt;"該当","",IF($E$62&lt;&gt;"",$E$62,""))</f>
        <v/>
      </c>
    </row>
    <row r="204" spans="2:5" ht="36" hidden="1" customHeight="1" outlineLevel="1">
      <c r="B204" s="227"/>
      <c r="C204" s="19" t="s">
        <v>119</v>
      </c>
      <c r="D204" s="225" t="s">
        <v>120</v>
      </c>
      <c r="E204" s="360"/>
    </row>
    <row r="205" spans="2:5" ht="36" hidden="1" customHeight="1" outlineLevel="1">
      <c r="B205" s="227"/>
      <c r="C205" s="19" t="s">
        <v>121</v>
      </c>
      <c r="D205" s="225" t="s">
        <v>120</v>
      </c>
      <c r="E205" s="360"/>
    </row>
    <row r="206" spans="2:5" ht="36" hidden="1" customHeight="1" outlineLevel="1">
      <c r="B206" s="227"/>
      <c r="C206" s="19" t="s">
        <v>122</v>
      </c>
      <c r="D206" s="225" t="s">
        <v>123</v>
      </c>
      <c r="E206" s="360"/>
    </row>
    <row r="207" spans="2:5" ht="36" hidden="1" customHeight="1" outlineLevel="1">
      <c r="B207" s="62"/>
      <c r="C207" s="19" t="s">
        <v>124</v>
      </c>
      <c r="D207" s="225" t="s">
        <v>123</v>
      </c>
      <c r="E207" s="360"/>
    </row>
    <row r="208" spans="2:5" ht="36" hidden="1" customHeight="1" outlineLevel="1">
      <c r="B208" s="224" t="s">
        <v>78</v>
      </c>
      <c r="C208" s="19" t="s">
        <v>94</v>
      </c>
      <c r="D208" s="225"/>
      <c r="E208" s="346" t="str">
        <f>IF($E$12&lt;&gt;"該当","",IF($E$65&lt;&gt;"",$E$65,""))</f>
        <v/>
      </c>
    </row>
    <row r="209" spans="1:7" ht="36" hidden="1" customHeight="1" outlineLevel="1">
      <c r="B209" s="61"/>
      <c r="C209" s="19" t="s">
        <v>119</v>
      </c>
      <c r="D209" s="225" t="s">
        <v>120</v>
      </c>
      <c r="E209" s="360"/>
    </row>
    <row r="210" spans="1:7" ht="36" hidden="1" customHeight="1" outlineLevel="1">
      <c r="B210" s="227"/>
      <c r="C210" s="19" t="s">
        <v>121</v>
      </c>
      <c r="D210" s="225" t="s">
        <v>120</v>
      </c>
      <c r="E210" s="360"/>
    </row>
    <row r="211" spans="1:7" ht="36" hidden="1" customHeight="1" outlineLevel="1">
      <c r="B211" s="227"/>
      <c r="C211" s="19" t="s">
        <v>122</v>
      </c>
      <c r="D211" s="225" t="s">
        <v>123</v>
      </c>
      <c r="E211" s="360"/>
    </row>
    <row r="212" spans="1:7" ht="36" hidden="1" customHeight="1" outlineLevel="1">
      <c r="B212" s="55"/>
      <c r="C212" s="19" t="s">
        <v>124</v>
      </c>
      <c r="D212" s="225" t="s">
        <v>123</v>
      </c>
      <c r="E212" s="360"/>
    </row>
    <row r="213" spans="1:7" ht="36" hidden="1" customHeight="1" outlineLevel="1">
      <c r="B213" s="224" t="s">
        <v>79</v>
      </c>
      <c r="C213" s="19" t="s">
        <v>94</v>
      </c>
      <c r="D213" s="225"/>
      <c r="E213" s="346" t="str">
        <f>IF($E$12&lt;&gt;"該当","",IF($E$68&lt;&gt;"",$E$68,""))</f>
        <v/>
      </c>
    </row>
    <row r="214" spans="1:7" ht="36" hidden="1" customHeight="1" outlineLevel="1">
      <c r="B214" s="227"/>
      <c r="C214" s="19" t="s">
        <v>119</v>
      </c>
      <c r="D214" s="225" t="s">
        <v>120</v>
      </c>
      <c r="E214" s="360"/>
    </row>
    <row r="215" spans="1:7" ht="36" hidden="1" customHeight="1" outlineLevel="1">
      <c r="B215" s="227"/>
      <c r="C215" s="19" t="s">
        <v>121</v>
      </c>
      <c r="D215" s="225" t="s">
        <v>120</v>
      </c>
      <c r="E215" s="360"/>
    </row>
    <row r="216" spans="1:7" ht="36" hidden="1" customHeight="1" outlineLevel="1">
      <c r="B216" s="227"/>
      <c r="C216" s="19" t="s">
        <v>122</v>
      </c>
      <c r="D216" s="225" t="s">
        <v>123</v>
      </c>
      <c r="E216" s="360"/>
    </row>
    <row r="217" spans="1:7" ht="36" hidden="1" customHeight="1" outlineLevel="1">
      <c r="B217" s="55"/>
      <c r="C217" s="19" t="s">
        <v>124</v>
      </c>
      <c r="D217" s="225" t="s">
        <v>123</v>
      </c>
      <c r="E217" s="360"/>
    </row>
    <row r="218" spans="1:7" ht="18" customHeight="1" collapsed="1">
      <c r="B218" s="6"/>
      <c r="C218" s="6"/>
      <c r="D218" s="2"/>
      <c r="E218" s="6"/>
    </row>
    <row r="219" spans="1:7" ht="20">
      <c r="B219" s="18" t="s">
        <v>125</v>
      </c>
      <c r="C219" s="1"/>
      <c r="D219" s="3"/>
      <c r="E219" s="6"/>
      <c r="F219" s="6"/>
      <c r="G219" s="1"/>
    </row>
    <row r="220" spans="1:7">
      <c r="B220" s="67" t="s">
        <v>126</v>
      </c>
      <c r="C220" s="1"/>
      <c r="D220" s="3"/>
      <c r="E220" s="1"/>
      <c r="F220" s="1"/>
      <c r="G220" s="1"/>
    </row>
    <row r="221" spans="1:7">
      <c r="B221" s="159" t="s">
        <v>127</v>
      </c>
      <c r="C221" s="160"/>
      <c r="D221" s="161" t="s">
        <v>128</v>
      </c>
      <c r="E221" s="162" t="s">
        <v>129</v>
      </c>
      <c r="F221" s="211" t="s">
        <v>130</v>
      </c>
      <c r="G221" s="1"/>
    </row>
    <row r="222" spans="1:7">
      <c r="A222" s="211">
        <f>MAX($A$221:A221)+1</f>
        <v>1</v>
      </c>
      <c r="B222" s="15" t="str">
        <f>TEXT(A222,"00")&amp;"_事業名"</f>
        <v>01_事業名</v>
      </c>
      <c r="C222" s="126"/>
      <c r="D222" s="60" t="s">
        <v>37</v>
      </c>
      <c r="E222" s="163" t="str">
        <f>IFERROR(IF(E6="","入力してください"," "),$F$221)</f>
        <v>入力してください</v>
      </c>
      <c r="G222" s="1"/>
    </row>
    <row r="223" spans="1:7">
      <c r="A223" s="211">
        <f>MAX($A$221:A222)+1</f>
        <v>2</v>
      </c>
      <c r="B223" s="15" t="str">
        <f>TEXT(A223,"00")&amp;"_1次・2次公募の採択"</f>
        <v>02_1次・2次公募の採択</v>
      </c>
      <c r="C223" s="126"/>
      <c r="D223" s="60" t="s">
        <v>131</v>
      </c>
      <c r="E223" s="163" t="str">
        <f>IFERROR(IF(AND(E8&lt;&gt;"該当",E8&lt;&gt;"非該当"),"該当・非該当のいずれかを選択してください"," "),$F$221)</f>
        <v>該当・非該当のいずれかを選択してください</v>
      </c>
      <c r="G223" s="1"/>
    </row>
    <row r="224" spans="1:7">
      <c r="A224" s="211">
        <f>MAX($A$221:A223)+1</f>
        <v>3</v>
      </c>
      <c r="B224" s="15" t="str">
        <f>TEXT(A224,"00")&amp;"_補助率"</f>
        <v>03_補助率</v>
      </c>
      <c r="C224" s="126"/>
      <c r="D224" s="60" t="s">
        <v>132</v>
      </c>
      <c r="E224" s="163" t="str">
        <f>IFERROR(IF(AND(E10&lt;&gt;"1/4補助率を許容する",E10&lt;&gt;"1/4補助率を許容しない"),"1/4補助率を許容する・1/4補助率を許容しないのいずれかを選択してください"," "),$F$221)</f>
        <v>1/4補助率を許容する・1/4補助率を許容しないのいずれかを選択してください</v>
      </c>
      <c r="G224" s="1"/>
    </row>
    <row r="225" spans="1:7">
      <c r="A225" s="211">
        <f>MAX($A$221:A224)+1</f>
        <v>4</v>
      </c>
      <c r="B225" s="15" t="str">
        <f>TEXT(A225,"00")&amp;"_中小企業から中堅企業への移行の宣誓"</f>
        <v>04_中小企業から中堅企業への移行の宣誓</v>
      </c>
      <c r="C225" s="126"/>
      <c r="D225" s="60" t="s">
        <v>133</v>
      </c>
      <c r="E225" s="163" t="str">
        <f>IFERROR(IF(AND(E12&lt;&gt;"該当",E12&lt;&gt;"非該当"),"該当・非該当のいずれかを選択してください"," "),$F$221)</f>
        <v>該当・非該当のいずれかを選択してください</v>
      </c>
      <c r="G225" s="1"/>
    </row>
    <row r="226" spans="1:7">
      <c r="A226" s="211">
        <f>MAX($A$221:A225)+1</f>
        <v>5</v>
      </c>
      <c r="B226" s="15" t="str">
        <f>TEXT(A226,"00")&amp;"_補助金の併願"</f>
        <v>05_補助金の併願</v>
      </c>
      <c r="C226" s="126"/>
      <c r="D226" s="60" t="s">
        <v>133</v>
      </c>
      <c r="E226" s="163" t="str">
        <f>IFERROR(IF(AND(E14&lt;&gt;"該当",E14&lt;&gt;"非該当"),"該当・非該当のいずれかを選択してください"," "),$F$221)</f>
        <v>該当・非該当のいずれかを選択してください</v>
      </c>
      <c r="G226" s="1"/>
    </row>
    <row r="227" spans="1:7">
      <c r="A227" s="211">
        <f>MAX($A$221:A226)+1</f>
        <v>6</v>
      </c>
      <c r="B227" s="15" t="str">
        <f>TEXT(A227,"00")&amp;"_提出日"</f>
        <v>06_提出日</v>
      </c>
      <c r="C227" s="126"/>
      <c r="D227" s="60" t="s">
        <v>134</v>
      </c>
      <c r="E227" s="163" t="str">
        <f>IFERROR(IF(E15="","入力してください",IF(OR(ISERROR(VALUE(E15)),E15&lt;DATEVALUE("2025/3/16")),"正しい日付を入力してください"," ")),$F$221)</f>
        <v>入力してください</v>
      </c>
      <c r="G227" s="1"/>
    </row>
    <row r="228" spans="1:7">
      <c r="A228" s="211">
        <f>MAX($A$221:A227)+1</f>
        <v>7</v>
      </c>
      <c r="B228" s="15" t="str">
        <f>TEXT(A228,"00")&amp;"_法人番号（インボイス登録番号）"</f>
        <v>07_法人番号（インボイス登録番号）</v>
      </c>
      <c r="C228" s="126"/>
      <c r="D228" s="60" t="s">
        <v>135</v>
      </c>
      <c r="E228" s="163" t="str">
        <f>IFERROR(IF(E16="","入力してください",IF(OR(AND(LEN(E16)=LENB(E16),LEFTB(E16,1)&lt;&gt;"-",LEFTB(E16,1)&lt;&gt;" ",LENB(E16)=13,ISNUMBER(VALUE(E16))),AND(LEN(E16)=LENB(E16),LEFTB(E16,1)="T",MIDB(E16,2,1)&lt;&gt;" ",MIDB(E16,2,1)&lt;&gt;"-",LENB(E16)=14,ISNUMBER(VALUE(MIDB(E16,2,13)))))," ","13桁の半角数字(インボイス登録番号の場合はT+13桁の数字(何れも半角))で入力してください")),$F$221)</f>
        <v>入力してください</v>
      </c>
      <c r="G228" s="1"/>
    </row>
    <row r="229" spans="1:7">
      <c r="A229" s="211">
        <f>MAX($A$221:A228)+1</f>
        <v>8</v>
      </c>
      <c r="B229" s="15" t="str">
        <f>TEXT(A229,"00")&amp;"_申請者名（企業名）"</f>
        <v>08_申請者名（企業名）</v>
      </c>
      <c r="C229" s="126"/>
      <c r="D229" s="60" t="s">
        <v>37</v>
      </c>
      <c r="E229" s="163" t="str">
        <f t="shared" ref="E229:E234" si="0">IFERROR(IF(E17="","入力してください"," "),$F$221)</f>
        <v>入力してください</v>
      </c>
      <c r="G229" s="1"/>
    </row>
    <row r="230" spans="1:7">
      <c r="A230" s="211">
        <f>MAX($A$221:A229)+1</f>
        <v>9</v>
      </c>
      <c r="B230" s="15" t="str">
        <f>TEXT(A230,"00")&amp;"_本社所在地（都道府県）"</f>
        <v>09_本社所在地（都道府県）</v>
      </c>
      <c r="C230" s="126"/>
      <c r="D230" s="60" t="s">
        <v>136</v>
      </c>
      <c r="E230" s="163" t="str">
        <f t="shared" si="0"/>
        <v>入力してください</v>
      </c>
      <c r="G230" s="1"/>
    </row>
    <row r="231" spans="1:7">
      <c r="A231" s="211">
        <f>MAX($A$221:A230)+1</f>
        <v>10</v>
      </c>
      <c r="B231" s="15" t="str">
        <f>TEXT(A231,"00")&amp;"_代表者名"</f>
        <v>10_代表者名</v>
      </c>
      <c r="C231" s="126"/>
      <c r="D231" s="60" t="s">
        <v>37</v>
      </c>
      <c r="E231" s="163" t="str">
        <f t="shared" si="0"/>
        <v>入力してください</v>
      </c>
      <c r="G231" s="1"/>
    </row>
    <row r="232" spans="1:7">
      <c r="A232" s="211">
        <f>MAX($A$221:A231)+1</f>
        <v>11</v>
      </c>
      <c r="B232" s="164" t="str">
        <f>TEXT(A232,"00")&amp;"_代表者役職"</f>
        <v>11_代表者役職</v>
      </c>
      <c r="C232" s="165"/>
      <c r="D232" s="166" t="s">
        <v>37</v>
      </c>
      <c r="E232" s="167" t="str">
        <f t="shared" si="0"/>
        <v>入力してください</v>
      </c>
      <c r="G232" s="1"/>
    </row>
    <row r="233" spans="1:7">
      <c r="A233" s="211">
        <f>MAX($A$221:A232)+1</f>
        <v>12</v>
      </c>
      <c r="B233" s="168" t="str">
        <f>TEXT(A233,"00")&amp;"_担当者1_担当者名（ふりがな）"</f>
        <v>12_担当者1_担当者名（ふりがな）</v>
      </c>
      <c r="C233" s="169"/>
      <c r="D233" s="62" t="s">
        <v>137</v>
      </c>
      <c r="E233" s="170" t="str">
        <f t="shared" si="0"/>
        <v>入力してください</v>
      </c>
      <c r="G233" s="1"/>
    </row>
    <row r="234" spans="1:7">
      <c r="A234" s="211">
        <f>MAX($A$221:A233)+1</f>
        <v>13</v>
      </c>
      <c r="B234" s="15" t="str">
        <f>TEXT(A234,"00")&amp;"_担当者1_担当者名"</f>
        <v>13_担当者1_担当者名</v>
      </c>
      <c r="C234" s="126"/>
      <c r="D234" s="60" t="s">
        <v>37</v>
      </c>
      <c r="E234" s="163" t="str">
        <f t="shared" si="0"/>
        <v>入力してください</v>
      </c>
      <c r="G234" s="1"/>
    </row>
    <row r="235" spans="1:7">
      <c r="A235" s="211">
        <f>MAX($A$221:A234)+1</f>
        <v>14</v>
      </c>
      <c r="B235" s="15" t="str">
        <f>TEXT(A235,"00")&amp;"_担当者1_電話番号（代表）"</f>
        <v>14_担当者1_電話番号（代表）</v>
      </c>
      <c r="C235" s="126"/>
      <c r="D235" s="60" t="s">
        <v>138</v>
      </c>
      <c r="E235" s="163" t="str">
        <f>IFERROR(IF(E25="","入力してください",IF(OR(LEN(E25)&lt;&gt;LENB(E25),COUNTIF(E25,"-*"),AND(LENB(E25)&lt;&gt;10,LENB(E25)&lt;&gt;11),ISNUMBER(VALUE(E25))=FALSE),"スペースやハイフンを除き10桁もしくは11桁の半角数字で入力してください"," ")),$F$221)</f>
        <v>入力してください</v>
      </c>
      <c r="G235" s="1"/>
    </row>
    <row r="236" spans="1:7">
      <c r="A236" s="211">
        <f>MAX($A$221:A235)+1</f>
        <v>15</v>
      </c>
      <c r="B236" s="15" t="str">
        <f>TEXT(A236,"00")&amp;"_担当者1_電話番号（直通）"</f>
        <v>15_担当者1_電話番号（直通）</v>
      </c>
      <c r="C236" s="126"/>
      <c r="D236" s="60" t="s">
        <v>139</v>
      </c>
      <c r="E236" s="163" t="str">
        <f>IFERROR(IF(E26=""," ",IF(OR(LEN(E26)&lt;&gt;LENB(E26),COUNTIF(E26,"-*"),AND(LENB(E26)&lt;&gt;10,LENB(E26)&lt;&gt;11),ISNUMBER(VALUE(E26))=FALSE),"スペースやハイフンを除き10桁もしくは11桁の半角数字で入力してください"," ")),$F$221)</f>
        <v xml:space="preserve"> </v>
      </c>
      <c r="G236" s="1"/>
    </row>
    <row r="237" spans="1:7">
      <c r="A237" s="211">
        <f>MAX($A$221:A236)+1</f>
        <v>16</v>
      </c>
      <c r="B237" s="15" t="str">
        <f>TEXT(A237,"00")&amp;"_担当者1_電話番号（携帯）"</f>
        <v>16_担当者1_電話番号（携帯）</v>
      </c>
      <c r="C237" s="126"/>
      <c r="D237" s="60" t="s">
        <v>140</v>
      </c>
      <c r="E237" s="163" t="str">
        <f>IFERROR(IF(E27=""," ",IF(OR(LEN(E27)&lt;&gt;LENB(E27),COUNTIF(E27,"-*"),LENB(E27)&lt;&gt;11,ISNUMBER(VALUE(E27))=FALSE),"スペースやハイフンを除き11桁の半角数字で入力してください"," ")),$F$221)</f>
        <v xml:space="preserve"> </v>
      </c>
      <c r="G237" s="1"/>
    </row>
    <row r="238" spans="1:7">
      <c r="A238" s="211">
        <f>MAX($A$221:A237)+1</f>
        <v>17</v>
      </c>
      <c r="B238" s="164" t="str">
        <f>TEXT(A238,"00")&amp;"_担当者1_e-mail"</f>
        <v>17_担当者1_e-mail</v>
      </c>
      <c r="C238" s="165"/>
      <c r="D238" s="166" t="s">
        <v>141</v>
      </c>
      <c r="E238" s="167" t="str">
        <f>IFERROR(IF(E28="","入力してください",IF(AND(LEN(E28)-LEN(SUBSTITUTE(E28, "@", ""))=1,ISNUMBER(FIND(".", E28)),EXACT(E28,TRIM(E28)),LEFT(E28, 1)&lt;&gt;".",LEFT(E28, 1)&lt;&gt;"@",RIGHT(E28, 1)&lt;&gt;".",RIGHT(E28, 1)&lt;&gt;"@",LEN(E28)=LENB(E28))," ","正しい形式かつ半角で入力してください")),$F$221)</f>
        <v>入力してください</v>
      </c>
      <c r="G238" s="1"/>
    </row>
    <row r="239" spans="1:7">
      <c r="A239" s="211">
        <f>MAX($A$221:A238)+1</f>
        <v>18</v>
      </c>
      <c r="B239" s="15" t="str">
        <f>TEXT(A239,"00")&amp;"_担当者2_担当者名（ふりがな）"</f>
        <v>18_担当者2_担当者名（ふりがな）</v>
      </c>
      <c r="C239" s="126"/>
      <c r="D239" s="60" t="s">
        <v>142</v>
      </c>
      <c r="E239" s="163" t="str">
        <f>IFERROR(IF(AND(E30&lt;&gt;"",E29=""),"入力してください"," "),$F$221)</f>
        <v xml:space="preserve"> </v>
      </c>
      <c r="G239" s="1"/>
    </row>
    <row r="240" spans="1:7">
      <c r="A240" s="211">
        <f>MAX($A$221:A239)+1</f>
        <v>19</v>
      </c>
      <c r="B240" s="15" t="str">
        <f>TEXT(A240,"00")&amp;"_担当者2_担当者名"</f>
        <v>19_担当者2_担当者名</v>
      </c>
      <c r="C240" s="126"/>
      <c r="D240" s="60" t="s">
        <v>143</v>
      </c>
      <c r="E240" s="163" t="str">
        <f>IFERROR(IF(AND(E30="",OR(E29&lt;&gt;"",E31&lt;&gt;"",E32&lt;&gt;"",E33&lt;&gt;"",E34&lt;&gt;"",E35&lt;&gt;"",E36&lt;&gt;"")),"担当者2の情報を入力する場合は、入力してください"," "),$F$221)</f>
        <v xml:space="preserve"> </v>
      </c>
      <c r="G240" s="1"/>
    </row>
    <row r="241" spans="1:7" ht="36">
      <c r="A241" s="211">
        <f>MAX($A$221:A240)+1</f>
        <v>20</v>
      </c>
      <c r="B241" s="15" t="str">
        <f>TEXT(A241,"00")&amp;"_担当者2_電話番号（代表）"</f>
        <v>20_担当者2_電話番号（代表）</v>
      </c>
      <c r="C241" s="126"/>
      <c r="D241" s="171" t="s">
        <v>144</v>
      </c>
      <c r="E241" s="163" t="str">
        <f>IFERROR(IF(AND(E30&lt;&gt;"",E33=""),"入力してください",IF(E33=""," ",IF(OR(LEN(E33)&lt;&gt;LENB(E33),COUNTIF(E33,"-*"),AND(LENB(E33)&lt;&gt;10,LENB(E33)&lt;&gt;11),ISNUMBER(VALUE(E33))=FALSE),"スペースやハイフンを除き10桁もしくは11桁の半角数字で入力してください"," "))),$F$221)</f>
        <v xml:space="preserve"> </v>
      </c>
      <c r="G241" s="1"/>
    </row>
    <row r="242" spans="1:7">
      <c r="A242" s="211">
        <f>MAX($A$221:A241)+1</f>
        <v>21</v>
      </c>
      <c r="B242" s="15" t="str">
        <f>TEXT(A242,"00")&amp;"_担当者2_電話番号（直通）"</f>
        <v>21_担当者2_電話番号（直通）</v>
      </c>
      <c r="C242" s="126"/>
      <c r="D242" s="60" t="s">
        <v>139</v>
      </c>
      <c r="E242" s="163" t="str">
        <f>IFERROR(IF(E34=""," ",IF(OR(LEN(E34)&lt;&gt;LENB(E34),COUNTIF(E34,"-*"),AND(LENB(E34)&lt;&gt;10,LENB(E34)&lt;&gt;11),ISNUMBER(VALUE(E34))=FALSE),"スペースやハイフンを除き10桁もしくは11桁の半角数字で入力してください"," ")),$F$221)</f>
        <v xml:space="preserve"> </v>
      </c>
      <c r="G242" s="1"/>
    </row>
    <row r="243" spans="1:7">
      <c r="A243" s="211">
        <f>MAX($A$221:A242)+1</f>
        <v>22</v>
      </c>
      <c r="B243" s="15" t="str">
        <f>TEXT(A243,"00")&amp;"_担当者2_電話番号（携帯）"</f>
        <v>22_担当者2_電話番号（携帯）</v>
      </c>
      <c r="C243" s="126"/>
      <c r="D243" s="60" t="s">
        <v>140</v>
      </c>
      <c r="E243" s="163" t="str">
        <f>IFERROR(IF(E35=""," ",IF(OR(LEN(E35)&lt;&gt;LENB(E35),COUNTIF(E35,"-*"),LENB(E35)&lt;&gt;11,ISNUMBER(VALUE(E35))=FALSE),"スペースやハイフンを除き11桁の半角数字で入力してください"," ")),$F$221)</f>
        <v xml:space="preserve"> </v>
      </c>
      <c r="G243" s="1"/>
    </row>
    <row r="244" spans="1:7" ht="36">
      <c r="A244" s="211">
        <f>MAX($A$221:A243)+1</f>
        <v>23</v>
      </c>
      <c r="B244" s="173" t="str">
        <f>TEXT(A244,"00")&amp;"_担当者2_e-mail"</f>
        <v>23_担当者2_e-mail</v>
      </c>
      <c r="C244" s="174"/>
      <c r="D244" s="212" t="s">
        <v>145</v>
      </c>
      <c r="E244" s="175" t="str">
        <f>IFERROR(IF(AND(E30&lt;&gt;"",E36=""),"入力してください",IF(E36=""," ",IF(AND(LEN(E36)-LEN(SUBSTITUTE(E36, "@", ""))=1,ISNUMBER(FIND(".", E36)),EXACT(E36,TRIM(E36)),LEFT(E36, 1)&lt;&gt;".",LEFT(E36, 1)&lt;&gt;"@",RIGHT(E36, 1)&lt;&gt;".",RIGHT(E36, 1)&lt;&gt;"@",LEN(E36)=LENB(E36))," ","正しい形式かつ半角で入力してください"))),$F$221)</f>
        <v xml:space="preserve"> </v>
      </c>
      <c r="G244" s="1"/>
    </row>
    <row r="245" spans="1:7" ht="36">
      <c r="A245" s="211">
        <f>MAX($A$221:A244)+1</f>
        <v>24</v>
      </c>
      <c r="B245" s="15" t="str">
        <f>TEXT(A245,"00")&amp;"_コンソーシアムによる共同申請"</f>
        <v>24_コンソーシアムによる共同申請</v>
      </c>
      <c r="C245" s="126"/>
      <c r="D245" s="171" t="s">
        <v>146</v>
      </c>
      <c r="E245" s="163" t="str">
        <f>IFERROR(IF(AND(E37&lt;&gt;"該当",E37&lt;&gt;"非該当"),"該当・非該当のいずれかを選択してください",IF(AND(E37="該当",COUNTA(E43:E69)=0),"申請者番号、申請者名を記載してください"," ")),$F$221)</f>
        <v>該当・非該当のいずれかを選択してください</v>
      </c>
      <c r="G245" s="1"/>
    </row>
    <row r="246" spans="1:7" ht="36">
      <c r="A246" s="211">
        <f>MAX($A$221:A245)+1</f>
        <v>25</v>
      </c>
      <c r="B246" s="15" t="str">
        <f>TEXT(A246,"00")&amp;"_外部支援事業者の支援"</f>
        <v>25_外部支援事業者の支援</v>
      </c>
      <c r="C246" s="126"/>
      <c r="D246" s="171" t="s">
        <v>147</v>
      </c>
      <c r="E246" s="163" t="str">
        <f>IFERROR(IF(AND(E38&lt;&gt;"該当",E38&lt;&gt;"非該当"),"該当・非該当のいずれかを選択してください",IF(AND(E38="該当",COUNTA(E134:E153)=0),"外部支援事業者名、支援期間を記載してください"," ")),$F$221)</f>
        <v>該当・非該当のいずれかを選択してください</v>
      </c>
      <c r="G246" s="1"/>
    </row>
    <row r="247" spans="1:7" ht="36">
      <c r="A247" s="211">
        <f>MAX($A$221:A246)+1</f>
        <v>26</v>
      </c>
      <c r="B247" s="15" t="str">
        <f>TEXT(A247,"00")&amp;"_金融機関の確認書の発行"</f>
        <v>26_金融機関の確認書の発行</v>
      </c>
      <c r="C247" s="126"/>
      <c r="D247" s="171" t="s">
        <v>148</v>
      </c>
      <c r="E247" s="163" t="str">
        <f>IFERROR(IF(AND(E39&lt;&gt;"該当",E39&lt;&gt;"非該当"),"該当・非該当のいずれかを選択してください",IF(AND(E39="該当",COUNTA(E156:E165)=0),"金融機関名を記載してください"," ")),$F$221)</f>
        <v>該当・非該当のいずれかを選択してください</v>
      </c>
      <c r="G247" s="1"/>
    </row>
    <row r="248" spans="1:7">
      <c r="A248" s="211">
        <f>MAX($A$221:A247)+1</f>
        <v>27</v>
      </c>
      <c r="B248" s="15" t="str">
        <f>TEXT(A248,"00")&amp;"_役員報酬の公表"</f>
        <v>27_役員報酬の公表</v>
      </c>
      <c r="C248" s="151"/>
      <c r="D248" s="171" t="s">
        <v>149</v>
      </c>
      <c r="E248" s="163" t="str">
        <f>IFERROR(IF(AND(E40&lt;&gt;"公表",E40&lt;&gt;"非公表"),"公表・非公表のいずれかを選択してください"," "),$F$221)</f>
        <v>公表・非公表のいずれかを選択してください</v>
      </c>
      <c r="G248" s="1"/>
    </row>
    <row r="249" spans="1:7">
      <c r="A249" s="211"/>
      <c r="B249" s="150" t="s">
        <v>150</v>
      </c>
      <c r="C249" s="151"/>
      <c r="D249" s="151"/>
      <c r="E249" s="172" t="s">
        <v>151</v>
      </c>
    </row>
    <row r="250" spans="1:7" ht="36">
      <c r="A250" s="211">
        <f>MAX($A$221:A249)+1</f>
        <v>28</v>
      </c>
      <c r="B250" s="15" t="str">
        <f>TEXT(A250,"00")&amp;"_事業者2_法人番号（インボイス登録番号）"</f>
        <v>28_事業者2_法人番号（インボイス登録番号）</v>
      </c>
      <c r="C250" s="126"/>
      <c r="D250" s="171" t="s">
        <v>152</v>
      </c>
      <c r="E250" s="163" t="str">
        <f>IFERROR(IF(AND(E44&lt;&gt;"",E43=""),"入力する場合、法人番号と申請者名を共に入力してください",IF(E43=""," ",IF(OR(AND(LEN(E43)=LENB(E43),LEFTB(E43,1)&lt;&gt;"-",LEFTB(E43,1)&lt;&gt;" ",LENB(E43)=13,ISNUMBER(VALUE(E43))),AND(LEN(E43)=LENB(E43),LEFTB(E43,1)="T",MIDB(E43,2,1)&lt;&gt;" ",MIDB(E43,2,1)&lt;&gt;"-",LENB(E43)=14,ISNUMBER(VALUE(MIDB(E43,2,13)))))," ","13桁の半角数字(インボイス登録番号の場合はT+13桁の数字(何れも半角))で入力してください"))),$F$221)</f>
        <v xml:space="preserve"> </v>
      </c>
      <c r="G250" s="1"/>
    </row>
    <row r="251" spans="1:7">
      <c r="A251" s="211">
        <f>MAX($A$221:A250)+1</f>
        <v>29</v>
      </c>
      <c r="B251" s="15" t="str">
        <f>TEXT(A251,"00")&amp;"_事業者2_事業者名（企業名）"</f>
        <v>29_事業者2_事業者名（企業名）</v>
      </c>
      <c r="C251" s="126"/>
      <c r="D251" s="60" t="s">
        <v>153</v>
      </c>
      <c r="E251" s="163" t="str">
        <f>IFERROR(IF(AND(E43&lt;&gt;"",E44=""),"入力する場合、法人番号と申請者名を共に入力してください"," "),$F$221)</f>
        <v xml:space="preserve"> </v>
      </c>
      <c r="G251" s="1"/>
    </row>
    <row r="252" spans="1:7">
      <c r="A252" s="211">
        <f>MAX($A$221:A251)+1</f>
        <v>30</v>
      </c>
      <c r="B252" s="173" t="str">
        <f>TEXT(A252,"00")&amp;"_事業者2_リース会社に該当する場合"</f>
        <v>30_事業者2_リース会社に該当する場合</v>
      </c>
      <c r="C252" s="174"/>
      <c r="D252" s="59" t="s">
        <v>154</v>
      </c>
      <c r="E252" s="175" t="str">
        <f>IFERROR(IF(AND(E45&lt;&gt;"",E45&lt;&gt;"●"),"入力する場合、●を入力してください"," "),$F$221)</f>
        <v xml:space="preserve"> </v>
      </c>
      <c r="G252" s="1"/>
    </row>
    <row r="253" spans="1:7" ht="36">
      <c r="A253" s="211">
        <f>MAX($A$221:A252)+1</f>
        <v>31</v>
      </c>
      <c r="B253" s="176" t="str">
        <f>TEXT(A253,"00")&amp;"_事業者3_法人番号（インボイス登録番号）"</f>
        <v>31_事業者3_法人番号（インボイス登録番号）</v>
      </c>
      <c r="C253" s="177"/>
      <c r="D253" s="178" t="s">
        <v>155</v>
      </c>
      <c r="E253" s="179" t="str">
        <f>IFERROR(IF(AND(E47&lt;&gt;"",E46=""),"入力する場合、法人番号と申請者名を共に入力してください",IF(E46=""," ",IF(OR(AND(LEN(E46)=LENB(E46),LEFTB(E46,1)&lt;&gt;"-",LEFTB(E46,1)&lt;&gt;" ",LENB(E46)=13,ISNUMBER(VALUE(E46))),AND(LEN(E46)=LENB(E46),LEFTB(E46,1)="T",MIDB(E46,2,1)&lt;&gt;" ",MIDB(E46,2,1)&lt;&gt;"-",LENB(E46)=14,ISNUMBER(VALUE(MIDB(E46,2,13)))))," ","13桁の半角数字(インボイス登録番号の場合はT+13桁の数字(何れも半角))で入力してください"))),$F$221)</f>
        <v xml:space="preserve"> </v>
      </c>
      <c r="G253" s="1"/>
    </row>
    <row r="254" spans="1:7">
      <c r="A254" s="211">
        <f>MAX($A$221:A253)+1</f>
        <v>32</v>
      </c>
      <c r="B254" s="15" t="str">
        <f>TEXT(A254,"00")&amp;"_事業者3_事業者名（企業名）"</f>
        <v>32_事業者3_事業者名（企業名）</v>
      </c>
      <c r="C254" s="126"/>
      <c r="D254" s="60" t="s">
        <v>156</v>
      </c>
      <c r="E254" s="163" t="str">
        <f>IFERROR(IF(AND(E46&lt;&gt;"",E47=""),"入力する場合、法人番号と申請者名を共に入力してください"," "),$F$221)</f>
        <v xml:space="preserve"> </v>
      </c>
      <c r="G254" s="1"/>
    </row>
    <row r="255" spans="1:7">
      <c r="A255" s="211">
        <f>MAX($A$221:A254)+1</f>
        <v>33</v>
      </c>
      <c r="B255" s="164" t="str">
        <f>TEXT(A255,"00")&amp;"_事業者3_リース会社に該当する場合"</f>
        <v>33_事業者3_リース会社に該当する場合</v>
      </c>
      <c r="C255" s="165"/>
      <c r="D255" s="166" t="s">
        <v>154</v>
      </c>
      <c r="E255" s="167" t="str">
        <f>IFERROR(IF(AND(E48&lt;&gt;"",E48&lt;&gt;"●"),"入力する場合、●を入力してください"," "),$F$221)</f>
        <v xml:space="preserve"> </v>
      </c>
      <c r="G255" s="1"/>
    </row>
    <row r="256" spans="1:7" ht="36">
      <c r="A256" s="211">
        <f>MAX($A$221:A255)+1</f>
        <v>34</v>
      </c>
      <c r="B256" s="15" t="str">
        <f>TEXT(A256,"00")&amp;"_事業者4_法人番号（インボイス登録番号）"</f>
        <v>34_事業者4_法人番号（インボイス登録番号）</v>
      </c>
      <c r="C256" s="126"/>
      <c r="D256" s="171" t="s">
        <v>157</v>
      </c>
      <c r="E256" s="163" t="str">
        <f>IFERROR(IF(AND(E50&lt;&gt;"",E49=""),"入力する場合、法人番号と申請者名を共に入力してください",IF(E49=""," ",IF(OR(AND(LEN(E49)=LENB(E49),LEFTB(E49,1)&lt;&gt;"-",LEFTB(E49,1)&lt;&gt;" ",LENB(E49)=13,ISNUMBER(VALUE(E49))),AND(LEN(E49)=LENB(E49),LEFTB(E49,1)="T",MIDB(E49,2,1)&lt;&gt;" ",MIDB(E49,2,1)&lt;&gt;"-",LENB(E49)=14,ISNUMBER(VALUE(MIDB(E49,2,13)))))," ","13桁の半角数字(インボイス登録番号の場合はT+13桁の数字(何れも半角))で入力してください"))),$F$221)</f>
        <v xml:space="preserve"> </v>
      </c>
      <c r="G256" s="1"/>
    </row>
    <row r="257" spans="1:7">
      <c r="A257" s="211">
        <f>MAX($A$221:A256)+1</f>
        <v>35</v>
      </c>
      <c r="B257" s="15" t="str">
        <f>TEXT(A257,"00")&amp;"_事業者4_事業者名（企業名）"</f>
        <v>35_事業者4_事業者名（企業名）</v>
      </c>
      <c r="C257" s="126"/>
      <c r="D257" s="60" t="s">
        <v>158</v>
      </c>
      <c r="E257" s="163" t="str">
        <f>IFERROR(IF(AND(E49&lt;&gt;"",E50=""),"入力する場合、法人番号と申請者名を共に入力してください"," "),$F$221)</f>
        <v xml:space="preserve"> </v>
      </c>
      <c r="G257" s="1"/>
    </row>
    <row r="258" spans="1:7">
      <c r="A258" s="211">
        <f>MAX($A$221:A257)+1</f>
        <v>36</v>
      </c>
      <c r="B258" s="173" t="str">
        <f>TEXT(A258,"00")&amp;"_事業者4_リース会社に該当する場合"</f>
        <v>36_事業者4_リース会社に該当する場合</v>
      </c>
      <c r="C258" s="174"/>
      <c r="D258" s="59" t="s">
        <v>159</v>
      </c>
      <c r="E258" s="175" t="str">
        <f>IFERROR(IF(AND(E51&lt;&gt;"",E51&lt;&gt;"●"),"入力する場合、●を入力してください"," "),$F$221)</f>
        <v xml:space="preserve"> </v>
      </c>
      <c r="G258" s="1"/>
    </row>
    <row r="259" spans="1:7" ht="36">
      <c r="A259" s="211">
        <f>MAX($A$221:A258)+1</f>
        <v>37</v>
      </c>
      <c r="B259" s="176" t="str">
        <f>TEXT(A259,"00")&amp;"_事業者5_法人番号（インボイス登録番号）"</f>
        <v>37_事業者5_法人番号（インボイス登録番号）</v>
      </c>
      <c r="C259" s="177"/>
      <c r="D259" s="178" t="s">
        <v>160</v>
      </c>
      <c r="E259" s="179" t="str">
        <f>IFERROR(IF(AND(E53&lt;&gt;"",E52=""),"入力する場合、法人番号と申請者名を共に入力してください",IF(E52=""," ",IF(OR(AND(LEN(E52)=LENB(E52),LEFTB(E52,1)&lt;&gt;"-",LEFTB(E52,1)&lt;&gt;" ",LENB(E52)=13,ISNUMBER(VALUE(E52))),AND(LEN(E52)=LENB(E52),LEFTB(E52,1)="T",MIDB(E52,2,1)&lt;&gt;" ",MIDB(E52,2,1)&lt;&gt;"-",LENB(E52)=14,ISNUMBER(VALUE(MIDB(E52,2,13)))))," ","13桁の半角数字(インボイス登録番号の場合はT+13桁の数字(何れも半角))で入力してください"))),$F$221)</f>
        <v xml:space="preserve"> </v>
      </c>
      <c r="G259" s="1"/>
    </row>
    <row r="260" spans="1:7">
      <c r="A260" s="211">
        <f>MAX($A$221:A259)+1</f>
        <v>38</v>
      </c>
      <c r="B260" s="15" t="str">
        <f>TEXT(A260,"00")&amp;"_事業者5_事業者名（企業名）"</f>
        <v>38_事業者5_事業者名（企業名）</v>
      </c>
      <c r="C260" s="126"/>
      <c r="D260" s="60" t="s">
        <v>161</v>
      </c>
      <c r="E260" s="163" t="str">
        <f>IFERROR(IF(AND(E52&lt;&gt;"",E53=""),"入力する場合、法人番号と申請者名を共に入力してください"," "),$F$221)</f>
        <v xml:space="preserve"> </v>
      </c>
      <c r="G260" s="1"/>
    </row>
    <row r="261" spans="1:7">
      <c r="A261" s="211">
        <f>MAX($A$221:A260)+1</f>
        <v>39</v>
      </c>
      <c r="B261" s="164" t="str">
        <f>TEXT(A261,"00")&amp;"_事業者5_リース会社に該当する場合"</f>
        <v>39_事業者5_リース会社に該当する場合</v>
      </c>
      <c r="C261" s="165"/>
      <c r="D261" s="166" t="s">
        <v>159</v>
      </c>
      <c r="E261" s="167" t="str">
        <f>IFERROR(IF(AND(E54&lt;&gt;"",E54&lt;&gt;"●"),"入力する場合、●を入力してください"," "),$F$221)</f>
        <v xml:space="preserve"> </v>
      </c>
      <c r="G261" s="1"/>
    </row>
    <row r="262" spans="1:7" ht="36">
      <c r="A262" s="211">
        <f>MAX($A$221:A261)+1</f>
        <v>40</v>
      </c>
      <c r="B262" s="176" t="str">
        <f>TEXT(A262,"00")&amp;"_事業者6_法人番号（インボイス登録番号）"</f>
        <v>40_事業者6_法人番号（インボイス登録番号）</v>
      </c>
      <c r="C262" s="177"/>
      <c r="D262" s="178" t="s">
        <v>162</v>
      </c>
      <c r="E262" s="179" t="str">
        <f>IFERROR(IF(AND(E56&lt;&gt;"",E55=""),"入力する場合、法人番号と申請者名を共に入力してください",IF(E55=""," ",IF(OR(AND(LEN(E55)=LENB(E55),LEFTB(E55,1)&lt;&gt;"-",LEFTB(E55,1)&lt;&gt;" ",LENB(E55)=13,ISNUMBER(VALUE(E55))),AND(LEN(E55)=LENB(E55),LEFTB(E55,1)="T",MIDB(E55,2,1)&lt;&gt;" ",MIDB(E55,2,1)&lt;&gt;"-",LENB(E55)=14,ISNUMBER(VALUE(MIDB(E55,2,13)))))," ","13桁の半角数字(インボイス登録番号の場合はT+13桁の数字(何れも半角))で入力してください"))),$F$221)</f>
        <v xml:space="preserve"> </v>
      </c>
      <c r="G262" s="1"/>
    </row>
    <row r="263" spans="1:7">
      <c r="A263" s="211">
        <f>MAX($A$221:A262)+1</f>
        <v>41</v>
      </c>
      <c r="B263" s="15" t="str">
        <f>TEXT(A263,"00")&amp;"_事業者6_事業者名（企業名）"</f>
        <v>41_事業者6_事業者名（企業名）</v>
      </c>
      <c r="C263" s="126"/>
      <c r="D263" s="60" t="s">
        <v>163</v>
      </c>
      <c r="E263" s="163" t="str">
        <f>IFERROR(IF(AND(E55&lt;&gt;"",E56=""),"入力する場合、法人番号と申請者名を共に入力してください"," "),$F$221)</f>
        <v xml:space="preserve"> </v>
      </c>
      <c r="G263" s="1"/>
    </row>
    <row r="264" spans="1:7">
      <c r="A264" s="211">
        <f>MAX($A$221:A263)+1</f>
        <v>42</v>
      </c>
      <c r="B264" s="164" t="str">
        <f>TEXT(A264,"00")&amp;"_事業者6_リース会社に該当する場合"</f>
        <v>42_事業者6_リース会社に該当する場合</v>
      </c>
      <c r="C264" s="165"/>
      <c r="D264" s="166" t="s">
        <v>159</v>
      </c>
      <c r="E264" s="167" t="str">
        <f>IFERROR(IF(AND(E57&lt;&gt;"",E57&lt;&gt;"●"),"入力する場合、●を入力してください"," "),$F$221)</f>
        <v xml:space="preserve"> </v>
      </c>
      <c r="G264" s="1"/>
    </row>
    <row r="265" spans="1:7" ht="36">
      <c r="A265" s="211">
        <f>MAX($A$221:A264)+1</f>
        <v>43</v>
      </c>
      <c r="B265" s="168" t="str">
        <f>TEXT(A265,"00")&amp;"_事業者7_法人番号（インボイス登録番号）"</f>
        <v>43_事業者7_法人番号（インボイス登録番号）</v>
      </c>
      <c r="C265" s="169"/>
      <c r="D265" s="152" t="s">
        <v>164</v>
      </c>
      <c r="E265" s="170" t="str">
        <f>IFERROR(IF(AND(E59&lt;&gt;"",E58=""),"入力する場合、法人番号と申請者名を共に入力してください",IF(E58=""," ",IF(OR(AND(LEN(E58)=LENB(E58),LEFTB(E58,1)&lt;&gt;"-",LEFTB(E58,1)&lt;&gt;" ",LENB(E58)=13,ISNUMBER(VALUE(E58))),AND(LEN(E58)=LENB(E58),LEFTB(E58,1)="T",MIDB(E58,2,1)&lt;&gt;" ",MIDB(E58,2,1)&lt;&gt;"-",LENB(E58)=14,ISNUMBER(VALUE(MIDB(E58,2,13)))))," ","13桁の半角数字(インボイス登録番号の場合はT+13桁の数字(何れも半角))で入力してください"))),$F$221)</f>
        <v xml:space="preserve"> </v>
      </c>
      <c r="G265" s="1"/>
    </row>
    <row r="266" spans="1:7">
      <c r="A266" s="211">
        <f>MAX($A$221:A265)+1</f>
        <v>44</v>
      </c>
      <c r="B266" s="15" t="str">
        <f>TEXT(A266,"00")&amp;"_事業者7_事業者名（企業名）"</f>
        <v>44_事業者7_事業者名（企業名）</v>
      </c>
      <c r="C266" s="126"/>
      <c r="D266" s="60" t="s">
        <v>165</v>
      </c>
      <c r="E266" s="163" t="str">
        <f>IFERROR(IF(AND(E58&lt;&gt;"",E59=""),"入力する場合、法人番号と申請者名を共に入力してください"," "),$F$221)</f>
        <v xml:space="preserve"> </v>
      </c>
      <c r="G266" s="1"/>
    </row>
    <row r="267" spans="1:7">
      <c r="A267" s="211">
        <f>MAX($A$221:A266)+1</f>
        <v>45</v>
      </c>
      <c r="B267" s="164" t="str">
        <f>TEXT(A267,"00")&amp;"_事業者7_リース会社に該当する場合"</f>
        <v>45_事業者7_リース会社に該当する場合</v>
      </c>
      <c r="C267" s="165"/>
      <c r="D267" s="166" t="s">
        <v>159</v>
      </c>
      <c r="E267" s="167" t="str">
        <f>IFERROR(IF(AND(E60&lt;&gt;"",E60&lt;&gt;"●"),"入力する場合、●を入力してください"," "),$F$221)</f>
        <v xml:space="preserve"> </v>
      </c>
      <c r="G267" s="1"/>
    </row>
    <row r="268" spans="1:7" ht="36">
      <c r="A268" s="211">
        <f>MAX($A$221:A267)+1</f>
        <v>46</v>
      </c>
      <c r="B268" s="176" t="str">
        <f>TEXT(A268,"00")&amp;"_事業者8_法人番号（インボイス登録番号）"</f>
        <v>46_事業者8_法人番号（インボイス登録番号）</v>
      </c>
      <c r="C268" s="177"/>
      <c r="D268" s="178" t="s">
        <v>166</v>
      </c>
      <c r="E268" s="179" t="str">
        <f>IFERROR(IF(AND(E62&lt;&gt;"",E61=""),"入力する場合、法人番号と申請者名を共に入力してください",IF(E61=""," ",IF(OR(AND(LEN(E61)=LENB(E61),LEFTB(E61,1)&lt;&gt;"-",LEFTB(E61,1)&lt;&gt;" ",LENB(E61)=13,ISNUMBER(VALUE(E61))),AND(LEN(E61)=LENB(E61),LEFTB(E61,1)="T",MIDB(E61,2,1)&lt;&gt;" ",MIDB(E61,2,1)&lt;&gt;"-",LENB(E61)=14,ISNUMBER(VALUE(MIDB(E61,2,13)))))," ","13桁の半角数字(インボイス登録番号の場合はT+13桁の数字(何れも半角))で入力してください"))),$F$221)</f>
        <v xml:space="preserve"> </v>
      </c>
      <c r="G268" s="1"/>
    </row>
    <row r="269" spans="1:7">
      <c r="A269" s="211">
        <f>MAX($A$221:A268)+1</f>
        <v>47</v>
      </c>
      <c r="B269" s="15" t="str">
        <f>TEXT(A269,"00")&amp;"_事業者8_事業者名（企業名）"</f>
        <v>47_事業者8_事業者名（企業名）</v>
      </c>
      <c r="C269" s="126"/>
      <c r="D269" s="60" t="s">
        <v>167</v>
      </c>
      <c r="E269" s="163" t="str">
        <f>IFERROR(IF(AND(E61&lt;&gt;"",E62=""),"入力する場合、法人番号と申請者名を共に入力してください"," "),$F$221)</f>
        <v xml:space="preserve"> </v>
      </c>
      <c r="G269" s="1"/>
    </row>
    <row r="270" spans="1:7">
      <c r="A270" s="211">
        <f>MAX($A$221:A269)+1</f>
        <v>48</v>
      </c>
      <c r="B270" s="164" t="str">
        <f>TEXT(A270,"00")&amp;"_事業者8_リース会社に該当する場合"</f>
        <v>48_事業者8_リース会社に該当する場合</v>
      </c>
      <c r="C270" s="165"/>
      <c r="D270" s="166" t="s">
        <v>159</v>
      </c>
      <c r="E270" s="167" t="str">
        <f>IFERROR(IF(AND(E63&lt;&gt;"",E63&lt;&gt;"●"),"入力する場合、●を入力してください"," "),$F$221)</f>
        <v xml:space="preserve"> </v>
      </c>
      <c r="G270" s="1"/>
    </row>
    <row r="271" spans="1:7" ht="36">
      <c r="A271" s="211">
        <f>MAX($A$221:A270)+1</f>
        <v>49</v>
      </c>
      <c r="B271" s="168" t="str">
        <f>TEXT(A271,"00")&amp;"_事業者9_法人番号（インボイス登録番号）"</f>
        <v>49_事業者9_法人番号（インボイス登録番号）</v>
      </c>
      <c r="C271" s="169"/>
      <c r="D271" s="152" t="s">
        <v>168</v>
      </c>
      <c r="E271" s="170" t="str">
        <f>IFERROR(IF(AND(E65&lt;&gt;"",E64=""),"入力する場合、法人番号と申請者名を共に入力してください",IF(E64=""," ",IF(OR(AND(LEN(E64)=LENB(E64),LEFTB(E64,1)&lt;&gt;"-",LEFTB(E64,1)&lt;&gt;" ",LENB(E64)=13,ISNUMBER(VALUE(E64))),AND(LEN(E64)=LENB(E64),LEFTB(E64,1)="T",MIDB(E64,2,1)&lt;&gt;" ",MIDB(E64,2,1)&lt;&gt;"-",LENB(E64)=14,ISNUMBER(VALUE(MIDB(E64,2,13)))))," ","13桁の半角数字(インボイス登録番号の場合はT+13桁の数字(何れも半角))で入力してください"))),$F$221)</f>
        <v xml:space="preserve"> </v>
      </c>
      <c r="G271" s="1"/>
    </row>
    <row r="272" spans="1:7">
      <c r="A272" s="211">
        <f>MAX($A$221:A271)+1</f>
        <v>50</v>
      </c>
      <c r="B272" s="15" t="str">
        <f>TEXT(A272,"00")&amp;"_事業者9_事業者名（企業名）"</f>
        <v>50_事業者9_事業者名（企業名）</v>
      </c>
      <c r="C272" s="126"/>
      <c r="D272" s="60" t="s">
        <v>169</v>
      </c>
      <c r="E272" s="163" t="str">
        <f>IFERROR(IF(AND(E64&lt;&gt;"",E65=""),"入力する場合、法人番号と申請者名を共に入力してください"," "),$F$221)</f>
        <v xml:space="preserve"> </v>
      </c>
      <c r="G272" s="1"/>
    </row>
    <row r="273" spans="1:7">
      <c r="A273" s="211">
        <f>MAX($A$221:A272)+1</f>
        <v>51</v>
      </c>
      <c r="B273" s="164" t="str">
        <f>TEXT(A273,"00")&amp;"_事業者9_リース会社に該当する場合"</f>
        <v>51_事業者9_リース会社に該当する場合</v>
      </c>
      <c r="C273" s="165"/>
      <c r="D273" s="166" t="s">
        <v>159</v>
      </c>
      <c r="E273" s="167" t="str">
        <f>IFERROR(IF(AND(E66&lt;&gt;"",E66&lt;&gt;"●"),"入力する場合、●を入力してください"," "),$F$221)</f>
        <v xml:space="preserve"> </v>
      </c>
      <c r="G273" s="1"/>
    </row>
    <row r="274" spans="1:7" ht="36">
      <c r="A274" s="211">
        <f>MAX($A$221:A273)+1</f>
        <v>52</v>
      </c>
      <c r="B274" s="15" t="str">
        <f>TEXT(A274,"00")&amp;"_事業者10_法人番号（インボイス登録番号）"</f>
        <v>52_事業者10_法人番号（インボイス登録番号）</v>
      </c>
      <c r="C274" s="126"/>
      <c r="D274" s="171" t="s">
        <v>170</v>
      </c>
      <c r="E274" s="163" t="str">
        <f>IFERROR(IF(AND(E68&lt;&gt;"",E67=""),"入力する場合、法人番号と申請者名を共に入力してください",IF(E67=""," ",IF(OR(AND(LEN(E67)=LENB(E67),LEFTB(E67,1)&lt;&gt;"-",LEFTB(E67,1)&lt;&gt;" ",LENB(E67)=13,ISNUMBER(VALUE(E67))),AND(LEN(E67)=LENB(E67),LEFTB(E67,1)="T",MIDB(E67,2,1)&lt;&gt;" ",MIDB(E67,2,1)&lt;&gt;"-",LENB(E67)=14,ISNUMBER(VALUE(MIDB(E67,2,13)))))," ","13桁の半角数字(インボイス登録番号の場合はT+13桁の数字(何れも半角))で入力してください"))),$F$221)</f>
        <v xml:space="preserve"> </v>
      </c>
    </row>
    <row r="275" spans="1:7">
      <c r="A275" s="211">
        <f>MAX($A$221:A274)+1</f>
        <v>53</v>
      </c>
      <c r="B275" s="15" t="str">
        <f>TEXT(A275,"00")&amp;"_事業者10_事業者名（企業名）"</f>
        <v>53_事業者10_事業者名（企業名）</v>
      </c>
      <c r="C275" s="126"/>
      <c r="D275" s="60" t="s">
        <v>171</v>
      </c>
      <c r="E275" s="163" t="str">
        <f>IFERROR(IF(AND(E67&lt;&gt;"",E68=""),"入力する場合、法人番号と申請者名を共に入力してください"," "),$F$221)</f>
        <v xml:space="preserve"> </v>
      </c>
    </row>
    <row r="276" spans="1:7">
      <c r="A276" s="211">
        <f>MAX($A$221:A275)+1</f>
        <v>54</v>
      </c>
      <c r="B276" s="15" t="str">
        <f>TEXT(A276,"00")&amp;"_事業者10_リース会社に該当する場合"</f>
        <v>54_事業者10_リース会社に該当する場合</v>
      </c>
      <c r="C276" s="126"/>
      <c r="D276" s="60" t="s">
        <v>159</v>
      </c>
      <c r="E276" s="163" t="str">
        <f>IFERROR(IF(AND(E69&lt;&gt;"",E69&lt;&gt;"●"),"入力する場合、●を入力してください"," "),$F$221)</f>
        <v xml:space="preserve"> </v>
      </c>
    </row>
    <row r="277" spans="1:7">
      <c r="B277" s="68" t="s">
        <v>172</v>
      </c>
      <c r="E277" t="s">
        <v>151</v>
      </c>
    </row>
    <row r="278" spans="1:7">
      <c r="A278" s="211">
        <f>MAX($A$221:A277)+1</f>
        <v>55</v>
      </c>
      <c r="B278" s="15" t="str">
        <f>TEXT(A278,"00")&amp;"_事業者1_業種"</f>
        <v>55_事業者1_業種</v>
      </c>
      <c r="C278" s="126"/>
      <c r="D278" s="60" t="s">
        <v>173</v>
      </c>
      <c r="E278" s="343" t="str">
        <f>IFERROR(IF($E$8&lt;&gt;"該当"," ",(IF($E$73="","該当・非該当を選択してください",IF($E$73="非該当"," ",IF(OR($E$74="",$E$75="",$E$76=""),"業種を選択してください",IF(AND(OR($E$74="T_分類不能の産業",COUNTIF($E$76,"*その他*")&gt;0,COUNTIF($E$76,"*他に分類されない*")&gt;0),$E$77=""),"その他の業種を記載してください"," ")))))),$F$221)</f>
        <v xml:space="preserve"> </v>
      </c>
    </row>
    <row r="279" spans="1:7">
      <c r="A279" s="211">
        <f>MAX($A$221:A278)+1</f>
        <v>56</v>
      </c>
      <c r="B279" s="15" t="str">
        <f>TEXT(A279,"00")&amp;"_事業者2_業種"</f>
        <v>56_事業者2_業種</v>
      </c>
      <c r="C279" s="126"/>
      <c r="D279" s="60" t="s">
        <v>173</v>
      </c>
      <c r="E279" s="343" t="str">
        <f>IFERROR(IF($E$8="非該当"," ",(IF($E$78=""," ",IF($E$79="","該当・非該当を選択してください",IF($E$79="非該当"," ",IF(AND($E$79="該当",OR($E$80="",$E$81="",$E$82="")),"業種を選択してください",IF(AND(OR($E$80="T_分類不能の産業",COUNTIF($E$82,"*その他*")&gt;0,COUNTIF($E$82,"*他に分類されない*")&gt;0),$E$83=""),"その他の業種を記載してください"," "))))))),$F$221)</f>
        <v xml:space="preserve"> </v>
      </c>
    </row>
    <row r="280" spans="1:7">
      <c r="A280" s="211">
        <f>MAX($A$221:A279)+1</f>
        <v>57</v>
      </c>
      <c r="B280" s="15" t="str">
        <f>TEXT(A280,"00")&amp;"_事業者3_業種"</f>
        <v>57_事業者3_業種</v>
      </c>
      <c r="C280" s="126"/>
      <c r="D280" s="60" t="s">
        <v>173</v>
      </c>
      <c r="E280" s="343" t="str">
        <f>IFERROR(IF($E$8="非該当"," ",(IF($E$84=""," ",IF($E$85="","該当・非該当を選択してください",IF($E$85="非該当"," ",IF(AND($E$85="該当",OR($E$86="",$E$87="",$E$88="")),"業種を選択してください",IF(AND(OR($E$86="T_分類不能の産業",COUNTIF($E$88,"*その他*")&gt;0,COUNTIF($E$88,"*他に分類されない*")&gt;0),$E$89=""),"その他の業種を記載してください"," "))))))),$F$221)</f>
        <v xml:space="preserve"> </v>
      </c>
    </row>
    <row r="281" spans="1:7">
      <c r="A281" s="211">
        <f>MAX($A$221:A280)+1</f>
        <v>58</v>
      </c>
      <c r="B281" s="15" t="str">
        <f>TEXT(A281,"00")&amp;"_事業者4_業種"</f>
        <v>58_事業者4_業種</v>
      </c>
      <c r="C281" s="126"/>
      <c r="D281" s="60" t="s">
        <v>173</v>
      </c>
      <c r="E281" s="343" t="str">
        <f>IFERROR(IF($E$8="非該当"," ",(IF($E$90=""," ",IF($E$91="","該当・非該当を選択してください",IF($E$91="非該当"," ",IF(AND($E$91="該当",OR($E$92="",$E$93="",$E$94="")),"業種を選択してください",IF(AND(OR($E$92="T_分類不能の産業",COUNTIF($E$94,"*その他*")&gt;0,COUNTIF($E$94,"*他に分類されない*")&gt;0),$E$95=""),"その他の業種を記載してください"," "))))))),$F$221)</f>
        <v xml:space="preserve"> </v>
      </c>
    </row>
    <row r="282" spans="1:7">
      <c r="A282" s="211">
        <f>MAX($A$221:A281)+1</f>
        <v>59</v>
      </c>
      <c r="B282" s="15" t="str">
        <f>TEXT(A282,"00")&amp;"_事業者5_業種"</f>
        <v>59_事業者5_業種</v>
      </c>
      <c r="C282" s="126"/>
      <c r="D282" s="60" t="s">
        <v>173</v>
      </c>
      <c r="E282" s="343" t="str">
        <f>IFERROR(IF($E$8="非該当"," ",(IF($E$96=""," ",IF($E$97="","該当・非該当を選択してください",IF($E$97="非該当"," ",IF(AND($E$97="該当",OR($E$98="",$E$99="",$E$100="")),"業種を選択してください",IF(AND(OR($E$98="T_分類不能の産業",COUNTIF($E$100,"*その他*")&gt;0,COUNTIF($E$100,"*他に分類されない*")&gt;0),$E$101=""),"その他の業種を記載してください"," "))))))),$F$221)</f>
        <v xml:space="preserve"> </v>
      </c>
    </row>
    <row r="283" spans="1:7">
      <c r="A283" s="211">
        <f>MAX($A$221:A282)+1</f>
        <v>60</v>
      </c>
      <c r="B283" s="15" t="str">
        <f>TEXT(A283,"00")&amp;"_事業者6_業種"</f>
        <v>60_事業者6_業種</v>
      </c>
      <c r="C283" s="126"/>
      <c r="D283" s="60" t="s">
        <v>173</v>
      </c>
      <c r="E283" s="343" t="str">
        <f>IFERROR(IF($E$8="非該当"," ",(IF($E$102=""," ",IF($E$103="","該当・非該当を選択してください",IF($E$103="非該当"," ",IF(AND($E$103="該当",OR($E$104="",$E$105="",$E$106="")),"業種を選択してください",IF(AND(OR($E$104="T_分類不能の産業",COUNTIF($E$106,"*その他*")&gt;0,COUNTIF($E$106,"*他に分類されない*")&gt;0),$E$107=""),"その他の業種を記載してください"," "))))))),$F$221)</f>
        <v xml:space="preserve"> </v>
      </c>
    </row>
    <row r="284" spans="1:7">
      <c r="A284" s="211">
        <f>MAX($A$221:A283)+1</f>
        <v>61</v>
      </c>
      <c r="B284" s="15" t="str">
        <f>TEXT(A284,"00")&amp;"_事業者7_業種"</f>
        <v>61_事業者7_業種</v>
      </c>
      <c r="C284" s="126"/>
      <c r="D284" s="60" t="s">
        <v>173</v>
      </c>
      <c r="E284" s="343" t="str">
        <f>IFERROR(IF($E$8="非該当"," ",(IF($E$108=""," ",IF($E$109="","該当・非該当を選択してください",IF($E$109="非該当"," ",IF(AND($E$109="該当",OR($E$110="",$E$111="",$E$112="")),"業種を選択してください",IF(AND(OR($E$110="T_分類不能の産業",COUNTIF($E$112,"*その他*")&gt;0,COUNTIF($E$112,"*他に分類されない*")&gt;0),$E$113=""),"その他の業種を記載してください"," "))))))),$F$221)</f>
        <v xml:space="preserve"> </v>
      </c>
    </row>
    <row r="285" spans="1:7">
      <c r="A285" s="211">
        <f>MAX($A$221:A284)+1</f>
        <v>62</v>
      </c>
      <c r="B285" s="15" t="str">
        <f>TEXT(A285,"00")&amp;"_事業者8_業種"</f>
        <v>62_事業者8_業種</v>
      </c>
      <c r="C285" s="126"/>
      <c r="D285" s="60" t="s">
        <v>173</v>
      </c>
      <c r="E285" s="343" t="str">
        <f>IFERROR(IF($E$8="非該当"," ",(IF($E$114=""," ",IF($E$115="","該当・非該当を選択してください",IF($E$115="非該当"," ",IF(AND($E$115="該当",OR($E$116="",$E$117="",$E$118="")),"業種を選択してください",IF(AND(OR($E$116="T_分類不能の産業",COUNTIF($E$118,"*その他*")&gt;0,COUNTIF($E$118,"*他に分類されない*")&gt;0),$E$119=""),"その他の業種を記載してください"," "))))))),$F$221)</f>
        <v xml:space="preserve"> </v>
      </c>
    </row>
    <row r="286" spans="1:7">
      <c r="A286" s="211">
        <f>MAX($A$221:A285)+1</f>
        <v>63</v>
      </c>
      <c r="B286" s="15" t="str">
        <f>TEXT(A286,"00")&amp;"_事業者9_業種"</f>
        <v>63_事業者9_業種</v>
      </c>
      <c r="C286" s="126"/>
      <c r="D286" s="60" t="s">
        <v>173</v>
      </c>
      <c r="E286" s="343" t="str">
        <f>IFERROR(IF($E$8="非該当"," ",(IF($E$120=""," ",IF($E$121="","該当・非該当を選択してください",IF($E$121="非該当"," ",IF(AND($E$121="該当",OR($E$122="",$E$123="",$E$124="")),"業種を選択してください",IF(AND(OR($E$122="T_分類不能の産業",COUNTIF($E$124,"*その他*")&gt;0,COUNTIF($E$124,"*他に分類されない*")&gt;0),$E$125=""),"その他の業種を記載してください"," "))))))),$F$221)</f>
        <v xml:space="preserve"> </v>
      </c>
    </row>
    <row r="287" spans="1:7">
      <c r="A287" s="211">
        <f>MAX($A$221:A286)+1</f>
        <v>64</v>
      </c>
      <c r="B287" s="15" t="str">
        <f>TEXT(A287,"00")&amp;"_事業者10_業種"</f>
        <v>64_事業者10_業種</v>
      </c>
      <c r="C287" s="126"/>
      <c r="D287" s="60" t="s">
        <v>173</v>
      </c>
      <c r="E287" s="343" t="str">
        <f>IFERROR(IF($E$8="非該当"," ",(IF($E$126=""," ",IF($E$127="","該当・非該当を選択してください",IF($E$127="非該当"," ",IF(AND($E$127="該当",OR($E$128="",$E$129="",$E$130="")),"業種を選択してください",IF(AND(OR($E$128="T_分類不能の産業",COUNTIF($E$130,"*その他*")&gt;0,COUNTIF($E$130,"*他に分類されない*")&gt;0),$E$131=""),"その他の業種を記載してください"," "))))))),$F$221)</f>
        <v xml:space="preserve"> </v>
      </c>
    </row>
    <row r="288" spans="1:7">
      <c r="A288" s="211">
        <f>MAX($A$221:A287)+1</f>
        <v>65</v>
      </c>
    </row>
    <row r="289" spans="1:2">
      <c r="A289" s="211">
        <f>MAX($A$221:A288)+1</f>
        <v>66</v>
      </c>
    </row>
    <row r="291" spans="1:2">
      <c r="B291" s="344"/>
    </row>
  </sheetData>
  <sheetProtection algorithmName="SHA-512" hashValue="EfUNsxkMkCVAeNHFf1oGVujWGaHzqqDtFYKO69KpYU2oh8nwVe9rIB2MmRuPWNYl5vqp1MwdgJgZt0MpiMKTdA==" saltValue="DBPXkx/3Xv8ULwTLE0LOZQ==" spinCount="100000" sheet="1" formatRows="0"/>
  <mergeCells count="2">
    <mergeCell ref="B11:E11"/>
    <mergeCell ref="B13:E13"/>
  </mergeCells>
  <phoneticPr fontId="1"/>
  <conditionalFormatting sqref="B43:E69">
    <cfRule type="expression" dxfId="94" priority="25">
      <formula>$E$37="非該当"</formula>
    </cfRule>
  </conditionalFormatting>
  <conditionalFormatting sqref="B72:E131">
    <cfRule type="expression" dxfId="93" priority="21">
      <formula>$E$8="非該当"</formula>
    </cfRule>
  </conditionalFormatting>
  <conditionalFormatting sqref="B134:E153">
    <cfRule type="expression" dxfId="92" priority="24">
      <formula>$E$38="非該当"</formula>
    </cfRule>
  </conditionalFormatting>
  <conditionalFormatting sqref="B156:E165">
    <cfRule type="expression" dxfId="91" priority="23">
      <formula>$E$39="非該当"</formula>
    </cfRule>
  </conditionalFormatting>
  <conditionalFormatting sqref="B168:E217">
    <cfRule type="expression" dxfId="90" priority="22">
      <formula>$E$12="非該当"</formula>
    </cfRule>
  </conditionalFormatting>
  <conditionalFormatting sqref="D4:E4">
    <cfRule type="expression" dxfId="89" priority="26">
      <formula>$D$4&lt;&gt;""</formula>
    </cfRule>
  </conditionalFormatting>
  <conditionalFormatting sqref="E74:E77">
    <cfRule type="expression" dxfId="88" priority="10">
      <formula>$E$73="非該当"</formula>
    </cfRule>
  </conditionalFormatting>
  <conditionalFormatting sqref="E77">
    <cfRule type="expression" dxfId="87" priority="20">
      <formula>OR($E74="T_分類不能の産業",COUNTIF($E76,"*その他*"),COUNTIF($E76,"*他に分類されない*"))</formula>
    </cfRule>
  </conditionalFormatting>
  <conditionalFormatting sqref="E80:E83">
    <cfRule type="expression" dxfId="86" priority="9">
      <formula>$E$79="非該当"</formula>
    </cfRule>
  </conditionalFormatting>
  <conditionalFormatting sqref="E83">
    <cfRule type="expression" dxfId="85" priority="19">
      <formula>OR($E80="T_分類不能の産業",COUNTIF($E82,"*その他*"),COUNTIF($E82,"*他に分類されない*"))</formula>
    </cfRule>
  </conditionalFormatting>
  <conditionalFormatting sqref="E86:E89">
    <cfRule type="expression" dxfId="84" priority="8">
      <formula>$E$85="非該当"</formula>
    </cfRule>
  </conditionalFormatting>
  <conditionalFormatting sqref="E89">
    <cfRule type="expression" dxfId="83" priority="18">
      <formula>OR($E86="T_分類不能の産業",COUNTIF($E88,"*その他*"),COUNTIF($E88,"*他に分類されない*"))</formula>
    </cfRule>
  </conditionalFormatting>
  <conditionalFormatting sqref="E92:E95">
    <cfRule type="expression" dxfId="82" priority="7">
      <formula>$E$91="非該当"</formula>
    </cfRule>
  </conditionalFormatting>
  <conditionalFormatting sqref="E95">
    <cfRule type="expression" dxfId="81" priority="17">
      <formula>OR($E92="T_分類不能の産業",COUNTIF($E94,"*その他*"),COUNTIF($E94,"*他に分類されない*"))</formula>
    </cfRule>
  </conditionalFormatting>
  <conditionalFormatting sqref="E98:E101">
    <cfRule type="expression" dxfId="80" priority="6">
      <formula>$E$97="非該当"</formula>
    </cfRule>
  </conditionalFormatting>
  <conditionalFormatting sqref="E101">
    <cfRule type="expression" dxfId="79" priority="16">
      <formula>OR($E98="T_分類不能の産業",COUNTIF($E100,"*その他*"),COUNTIF($E100,"*他に分類されない*"))</formula>
    </cfRule>
  </conditionalFormatting>
  <conditionalFormatting sqref="E104:E107">
    <cfRule type="expression" dxfId="78" priority="5">
      <formula>$E$103="非該当"</formula>
    </cfRule>
  </conditionalFormatting>
  <conditionalFormatting sqref="E107">
    <cfRule type="expression" dxfId="77" priority="15">
      <formula>OR($E104="T_分類不能の産業",COUNTIF($E106,"*その他*"),COUNTIF($E106,"*他に分類されない*"))</formula>
    </cfRule>
  </conditionalFormatting>
  <conditionalFormatting sqref="E110:E113">
    <cfRule type="expression" dxfId="76" priority="4">
      <formula>$E$109="非該当"</formula>
    </cfRule>
  </conditionalFormatting>
  <conditionalFormatting sqref="E113">
    <cfRule type="expression" dxfId="75" priority="14">
      <formula>OR($E110="T_分類不能の産業",COUNTIF($E112,"*その他*"),COUNTIF($E112,"*他に分類されない*"))</formula>
    </cfRule>
  </conditionalFormatting>
  <conditionalFormatting sqref="E116:E119">
    <cfRule type="expression" dxfId="74" priority="3">
      <formula>$E$115="非該当"</formula>
    </cfRule>
  </conditionalFormatting>
  <conditionalFormatting sqref="E119">
    <cfRule type="expression" dxfId="73" priority="13">
      <formula>OR($E116="T_分類不能の産業",COUNTIF($E118,"*その他*"),COUNTIF($E118,"*他に分類されない*"))</formula>
    </cfRule>
  </conditionalFormatting>
  <conditionalFormatting sqref="E122:E125">
    <cfRule type="expression" dxfId="72" priority="2">
      <formula>$E$121="非該当"</formula>
    </cfRule>
  </conditionalFormatting>
  <conditionalFormatting sqref="E125">
    <cfRule type="expression" dxfId="71" priority="12">
      <formula>OR($E122="T_分類不能の産業",COUNTIF($E124,"*その他*"),COUNTIF($E124,"*他に分類されない*"))</formula>
    </cfRule>
  </conditionalFormatting>
  <conditionalFormatting sqref="E128:E131">
    <cfRule type="expression" dxfId="70" priority="1">
      <formula>$E$127="非該当"</formula>
    </cfRule>
  </conditionalFormatting>
  <conditionalFormatting sqref="E131">
    <cfRule type="expression" dxfId="69" priority="11">
      <formula>OR($E128="T_分類不能の産業",COUNTIF($E130,"*その他*"),COUNTIF($E130,"*他に分類されない*"))</formula>
    </cfRule>
  </conditionalFormatting>
  <dataValidations count="11">
    <dataValidation type="list" allowBlank="1" showInputMessage="1" showErrorMessage="1" sqref="E76 E82 E88 E94 E100 E106 E112 E118 E124 E130" xr:uid="{F08BA41B-4628-40A0-B2AF-A69F420AB466}">
      <formula1>INDIRECT("_"&amp;$E75)</formula1>
    </dataValidation>
    <dataValidation type="list" allowBlank="1" showInputMessage="1" showErrorMessage="1" sqref="E75 E81 E87 E93 E99 E105 E111 E117 E123 E129" xr:uid="{75B9DF66-78D4-40CE-B524-655ACEA1FE3C}">
      <formula1>INDIRECT($E74)</formula1>
    </dataValidation>
    <dataValidation type="list" allowBlank="1" showInputMessage="1" showErrorMessage="1" sqref="E40" xr:uid="{A5C710E2-2DC8-4CE7-B621-DD4A67ADF43C}">
      <formula1>"公表,非公表"</formula1>
    </dataValidation>
    <dataValidation type="list" allowBlank="1" showInputMessage="1" showErrorMessage="1" sqref="E18" xr:uid="{B1FFA45F-6975-4C1F-B180-05AFB9D76F84}">
      <formula1>"北海道,青森,岩手,宮城,秋田,山形,福島,茨城,栃木,群馬,埼玉,千葉,東京,神奈川,新潟,富山,石川,福井,山梨,長野,岐阜,静岡,愛知,三重,滋賀,京都,大阪,兵庫,奈良,和歌山,鳥取,島根,岡山,広島,山口,徳島,香川,愛媛,高知,福岡,佐賀,長崎,熊本,大分,宮崎,鹿児島,沖縄"</formula1>
    </dataValidation>
    <dataValidation type="list" allowBlank="1" showInputMessage="1" showErrorMessage="1" sqref="E12 E8 E14 E37:E39 E73 E79 E85 E91 E97 E127 E109 E115 E121 E103" xr:uid="{0185651C-9F5D-49EE-B587-C55572D4227A}">
      <formula1>"該当,非該当"</formula1>
    </dataValidation>
    <dataValidation type="list" allowBlank="1" showInputMessage="1" showErrorMessage="1" sqref="E10" xr:uid="{4801EF91-BF8C-4F9F-9A76-AD81A5338FD2}">
      <formula1>"1/4補助率を許容する,1/4補助率を許容しない"</formula1>
    </dataValidation>
    <dataValidation imeMode="disabled" allowBlank="1" showInputMessage="1" showErrorMessage="1" sqref="E28 E36" xr:uid="{7AA418DC-6B6B-4216-A264-9D263E0914D3}"/>
    <dataValidation type="textLength" imeMode="disabled" operator="equal" allowBlank="1" showInputMessage="1" showErrorMessage="1" error="入力内容を確認してください。" sqref="E27 E35" xr:uid="{CF97EF67-B605-41FE-B66B-CAD7D6556AFE}">
      <formula1>11</formula1>
    </dataValidation>
    <dataValidation type="textLength" imeMode="disabled" allowBlank="1" showInputMessage="1" showErrorMessage="1" error="入力内容を確認してください。" sqref="E33:E34 E25:E26" xr:uid="{83788F33-B064-4678-BDC5-148277E61ED6}">
      <formula1>10</formula1>
      <formula2>11</formula2>
    </dataValidation>
    <dataValidation type="textLength" imeMode="disabled" allowBlank="1" showInputMessage="1" showErrorMessage="1" error="入力内容を確認してください。" sqref="E16 E64 E43 E46 E49 E52 E55 E58 E61 E67" xr:uid="{6C624B52-9847-4860-9F7E-3D3766A66743}">
      <formula1>13</formula1>
      <formula2>14</formula2>
    </dataValidation>
    <dataValidation type="list" allowBlank="1" showInputMessage="1" showErrorMessage="1" sqref="E45 E48 E51 E54 E57 E60 E63 E66 E69" xr:uid="{9F1B98A4-0067-4CFC-829A-35CA944AE08E}">
      <formula1>"●"</formula1>
    </dataValidation>
  </dataValidations>
  <pageMargins left="0.25" right="0.25" top="0.75" bottom="0.75" header="0.3" footer="0.3"/>
  <pageSetup paperSize="9" scale="51" orientation="portrait" horizontalDpi="300"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A00750C-DB7E-4AF7-ADDB-029F1981FE0B}">
          <x14:formula1>
            <xm:f>【参考】業種!$F$2:$Y$2</xm:f>
          </x14:formula1>
          <xm:sqref>E74 E80 E86 E92 E98 E104 E110 E116 E122 E128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40E43-6C24-412D-BC5D-64ECA2A7974B}">
  <sheetPr>
    <tabColor theme="7" tint="0.79998168889431442"/>
    <pageSetUpPr fitToPage="1"/>
  </sheetPr>
  <dimension ref="A1:V1059"/>
  <sheetViews>
    <sheetView zoomScaleNormal="100" workbookViewId="0"/>
  </sheetViews>
  <sheetFormatPr defaultColWidth="9" defaultRowHeight="18" outlineLevelRow="1"/>
  <cols>
    <col min="1" max="1" width="5.58203125" style="1" customWidth="1"/>
    <col min="2" max="3" width="3.75" style="1" customWidth="1"/>
    <col min="4" max="4" width="5.33203125" style="3" bestFit="1" customWidth="1"/>
    <col min="5" max="5" width="76" style="2" customWidth="1"/>
    <col min="6" max="6" width="31.33203125" style="1" customWidth="1"/>
    <col min="7" max="17" width="15.58203125" style="1" customWidth="1"/>
    <col min="18" max="18" width="12.33203125" style="1" customWidth="1"/>
    <col min="19" max="19" width="15.33203125" style="1" customWidth="1"/>
    <col min="20" max="20" width="12.33203125" style="1" customWidth="1"/>
    <col min="21" max="21" width="14.33203125" style="1" customWidth="1"/>
    <col min="22" max="16384" width="9" style="1"/>
  </cols>
  <sheetData>
    <row r="1" spans="1:17" ht="14.5" customHeight="1">
      <c r="A1" s="113" t="s">
        <v>1144</v>
      </c>
      <c r="E1" s="296">
        <f>①申請者情報!E16</f>
        <v>0</v>
      </c>
    </row>
    <row r="2" spans="1:17" ht="7.5" customHeight="1">
      <c r="A2" s="42"/>
    </row>
    <row r="3" spans="1:17" ht="22.5">
      <c r="B3" s="74" t="s">
        <v>174</v>
      </c>
    </row>
    <row r="4" spans="1:17" ht="16.149999999999999" customHeight="1" thickBot="1">
      <c r="B4" s="8"/>
      <c r="C4" s="8"/>
    </row>
    <row r="5" spans="1:17" ht="18.5" thickBot="1">
      <c r="B5" s="8"/>
      <c r="C5" s="180" t="str">
        <f ca="1">IF(OR(COUNTIF(G971:G1028,"非該当")&gt;0,COUNTIF(F1033:F1047,"&lt;&gt;"&amp;" ")),"要件を満たしていない項目があります。最下行の&lt;要件の充足チェック&gt;, &lt;入力チェック&gt;を確認してください。","")</f>
        <v>要件を満たしていない項目があります。最下行の&lt;要件の充足チェック&gt;, &lt;入力チェック&gt;を確認してください。</v>
      </c>
      <c r="D5" s="136"/>
      <c r="E5" s="297"/>
    </row>
    <row r="6" spans="1:17" ht="16.149999999999999" customHeight="1">
      <c r="B6" s="8"/>
      <c r="J6" s="67"/>
    </row>
    <row r="7" spans="1:17" ht="16.149999999999999" customHeight="1">
      <c r="D7" s="31" t="s">
        <v>175</v>
      </c>
      <c r="E7" s="298" t="str">
        <f>IF(①申請者情報!$E$15="","",①申請者情報!$E$15)</f>
        <v/>
      </c>
      <c r="J7" s="67"/>
    </row>
    <row r="8" spans="1:17" ht="16.149999999999999" customHeight="1">
      <c r="D8" s="31" t="s">
        <v>176</v>
      </c>
      <c r="E8" s="299" t="str">
        <f>①申請者情報!$E$17&amp;""</f>
        <v/>
      </c>
      <c r="J8" s="67"/>
    </row>
    <row r="9" spans="1:17" ht="16.149999999999999" customHeight="1">
      <c r="B9" s="8"/>
      <c r="D9" s="31" t="s">
        <v>177</v>
      </c>
      <c r="E9" s="300"/>
    </row>
    <row r="10" spans="1:17" ht="16" customHeight="1">
      <c r="D10" s="31" t="s">
        <v>178</v>
      </c>
      <c r="E10" s="300"/>
      <c r="F10" s="54"/>
      <c r="G10" s="1" t="s">
        <v>179</v>
      </c>
    </row>
    <row r="11" spans="1:17">
      <c r="C11" s="8"/>
      <c r="D11" s="31" t="s">
        <v>180</v>
      </c>
      <c r="G11" s="64" t="s">
        <v>181</v>
      </c>
      <c r="H11" s="64" t="s">
        <v>182</v>
      </c>
      <c r="I11" s="64" t="s">
        <v>183</v>
      </c>
      <c r="J11" s="132" t="s">
        <v>184</v>
      </c>
      <c r="K11" s="132"/>
      <c r="L11" s="132"/>
      <c r="M11" s="132"/>
      <c r="N11" s="132"/>
      <c r="O11" s="132"/>
      <c r="P11" s="132"/>
      <c r="Q11" s="132"/>
    </row>
    <row r="12" spans="1:17">
      <c r="B12" s="8"/>
      <c r="D12" s="31" t="s">
        <v>185</v>
      </c>
      <c r="E12" s="301"/>
      <c r="G12" s="133" t="str">
        <f>IF($E$9="","",EDATE(H12,-12))</f>
        <v/>
      </c>
      <c r="H12" s="133" t="str">
        <f>IF($E$9="","",EDATE(I12,-12))</f>
        <v/>
      </c>
      <c r="I12" s="133" t="str">
        <f>IF($E$9="","",$E$9)</f>
        <v/>
      </c>
      <c r="J12" s="133" t="str">
        <f t="shared" ref="J12:Q12" si="0">IF($E$9="","",EDATE(I12,12))</f>
        <v/>
      </c>
      <c r="K12" s="133" t="str">
        <f t="shared" si="0"/>
        <v/>
      </c>
      <c r="L12" s="133" t="str">
        <f t="shared" si="0"/>
        <v/>
      </c>
      <c r="M12" s="133" t="str">
        <f t="shared" si="0"/>
        <v/>
      </c>
      <c r="N12" s="133" t="str">
        <f t="shared" si="0"/>
        <v/>
      </c>
      <c r="O12" s="133" t="str">
        <f t="shared" si="0"/>
        <v/>
      </c>
      <c r="P12" s="133" t="str">
        <f t="shared" si="0"/>
        <v/>
      </c>
      <c r="Q12" s="133" t="str">
        <f t="shared" si="0"/>
        <v/>
      </c>
    </row>
    <row r="13" spans="1:17">
      <c r="B13" s="8"/>
      <c r="D13" s="193" t="s">
        <v>186</v>
      </c>
      <c r="E13" s="302"/>
      <c r="F13" s="361" t="str">
        <f>IF(E12="","",IF($E$13="適用する（確定した決算数値が1期もない事業者のみ選択可能）",EDATE($E$12,12),$E$12))</f>
        <v/>
      </c>
      <c r="G13" s="228" t="str">
        <f>IFERROR(IF(AND(G12&lt;&gt;"",$F$13=G12),"基準年",IF($F$13&lt;G12,IF(YEAR(G12)-YEAR($F$13)&lt;4,"事業化報告"&amp;YEAR(G12)-YEAR($F$13)&amp;"年目","－"),"")),"")</f>
        <v/>
      </c>
      <c r="H13" s="228" t="str">
        <f>IFERROR(IF(AND(H12&lt;&gt;"",$F$13=H12),"基準年",IF($F$13&lt;H12,IF(YEAR(H12)-YEAR($F$13)&lt;4,"事業化報告"&amp;YEAR(H12)-YEAR($F$13)&amp;"年目","－"),"")),"")</f>
        <v/>
      </c>
      <c r="I13" s="228" t="str">
        <f t="shared" ref="I13:Q13" si="1">IFERROR(IF(AND(I12&lt;&gt;"",$F$13=I12),"基準年",IF($F$13&lt;I12,IF(YEAR(I12)-YEAR($F$13)&lt;4,"事業化報告"&amp;YEAR(I12)-YEAR($F$13)&amp;"年目","－"),"")),"")</f>
        <v/>
      </c>
      <c r="J13" s="228" t="str">
        <f t="shared" si="1"/>
        <v/>
      </c>
      <c r="K13" s="228" t="str">
        <f t="shared" si="1"/>
        <v/>
      </c>
      <c r="L13" s="228" t="str">
        <f t="shared" si="1"/>
        <v/>
      </c>
      <c r="M13" s="228" t="str">
        <f t="shared" si="1"/>
        <v/>
      </c>
      <c r="N13" s="228" t="str">
        <f>IFERROR(IF(AND(N12&lt;&gt;"",$F$13=N12),"基準年",IF($F$13&lt;N12,IF(YEAR(N12)-YEAR($F$13)&lt;4,"事業化報告"&amp;YEAR(N12)-YEAR($F$13)&amp;"年目","－"),"")),"")</f>
        <v/>
      </c>
      <c r="O13" s="228" t="str">
        <f>IFERROR(IF(AND(O12&lt;&gt;"",$F$13=O12),"基準年",IF($F$13&lt;O12,IF(YEAR(O12)-YEAR($F$13)&lt;4,"事業化報告"&amp;YEAR(O12)-YEAR($F$13)&amp;"年目","－"),"")),"")</f>
        <v/>
      </c>
      <c r="P13" s="228" t="str">
        <f t="shared" si="1"/>
        <v/>
      </c>
      <c r="Q13" s="228" t="str">
        <f t="shared" si="1"/>
        <v/>
      </c>
    </row>
    <row r="14" spans="1:17" ht="20">
      <c r="B14" s="18" t="s">
        <v>187</v>
      </c>
      <c r="D14" s="1"/>
      <c r="F14" s="26"/>
    </row>
    <row r="15" spans="1:17">
      <c r="B15" s="53">
        <f>MAX($B$14:B14)+1</f>
        <v>1</v>
      </c>
      <c r="C15" s="46" t="s">
        <v>188</v>
      </c>
      <c r="D15" s="24"/>
      <c r="E15" s="293"/>
      <c r="F15" s="25"/>
      <c r="G15" s="11"/>
      <c r="H15" s="11"/>
      <c r="I15" s="11"/>
      <c r="J15" s="11"/>
      <c r="K15" s="11"/>
      <c r="L15" s="11"/>
      <c r="M15" s="11"/>
      <c r="N15" s="11"/>
      <c r="O15" s="11"/>
      <c r="P15" s="11"/>
      <c r="Q15" s="11"/>
    </row>
    <row r="16" spans="1:17" ht="29.25" customHeight="1">
      <c r="C16" s="123"/>
      <c r="D16" s="5" t="str">
        <f>MAX($B$15:B16)&amp;"-"&amp;COUNTA($D$15:D15)+1</f>
        <v>1-1</v>
      </c>
      <c r="E16" s="303" t="s">
        <v>189</v>
      </c>
      <c r="F16" s="20"/>
      <c r="G16" s="138"/>
      <c r="H16" s="138"/>
      <c r="I16" s="138"/>
      <c r="J16" s="17"/>
      <c r="K16" s="17"/>
      <c r="L16" s="17"/>
      <c r="M16" s="17"/>
      <c r="N16" s="17"/>
      <c r="O16" s="17"/>
      <c r="P16" s="17"/>
      <c r="Q16" s="17"/>
    </row>
    <row r="17" spans="2:17" ht="29.25" customHeight="1">
      <c r="C17" s="9"/>
      <c r="D17" s="5" t="str">
        <f>MAX($B$15:B17)&amp;"-"&amp;COUNTA($D$15:D16)+1</f>
        <v>1-2</v>
      </c>
      <c r="E17" s="303" t="s">
        <v>190</v>
      </c>
      <c r="F17" s="19"/>
      <c r="G17" s="138"/>
      <c r="H17" s="138"/>
      <c r="I17" s="138"/>
      <c r="J17" s="17"/>
      <c r="K17" s="17"/>
      <c r="L17" s="17"/>
      <c r="M17" s="17"/>
      <c r="N17" s="17"/>
      <c r="O17" s="17"/>
      <c r="P17" s="17"/>
      <c r="Q17" s="17"/>
    </row>
    <row r="18" spans="2:17" ht="29.25" customHeight="1">
      <c r="C18" s="9"/>
      <c r="D18" s="5" t="str">
        <f>MAX($B$15:B18)&amp;"-"&amp;COUNTA($D$15:D17)+1</f>
        <v>1-3</v>
      </c>
      <c r="E18" s="303" t="s">
        <v>191</v>
      </c>
      <c r="F18" s="19"/>
      <c r="G18" s="138"/>
      <c r="H18" s="138"/>
      <c r="I18" s="138"/>
      <c r="J18" s="17"/>
      <c r="K18" s="17"/>
      <c r="L18" s="17"/>
      <c r="M18" s="17"/>
      <c r="N18" s="17"/>
      <c r="O18" s="17"/>
      <c r="P18" s="17"/>
      <c r="Q18" s="17"/>
    </row>
    <row r="19" spans="2:17" ht="29.25" customHeight="1">
      <c r="C19" s="9"/>
      <c r="D19" s="5" t="str">
        <f>MAX($B$15:B19)&amp;"-"&amp;COUNTA($D$15:D18)+1</f>
        <v>1-4</v>
      </c>
      <c r="E19" s="303" t="s">
        <v>192</v>
      </c>
      <c r="F19" s="19"/>
      <c r="G19" s="138"/>
      <c r="H19" s="138"/>
      <c r="I19" s="138"/>
      <c r="J19" s="17"/>
      <c r="K19" s="17"/>
      <c r="L19" s="17"/>
      <c r="M19" s="17"/>
      <c r="N19" s="17"/>
      <c r="O19" s="17"/>
      <c r="P19" s="17"/>
      <c r="Q19" s="17"/>
    </row>
    <row r="20" spans="2:17" ht="29.25" customHeight="1">
      <c r="C20" s="9"/>
      <c r="D20" s="5" t="str">
        <f>MAX($B$15:B20)&amp;"-"&amp;COUNTA($D$15:D19)+1</f>
        <v>1-5</v>
      </c>
      <c r="E20" s="303" t="s">
        <v>193</v>
      </c>
      <c r="F20" s="19"/>
      <c r="G20" s="138"/>
      <c r="H20" s="138"/>
      <c r="I20" s="138"/>
      <c r="J20" s="17"/>
      <c r="K20" s="17"/>
      <c r="L20" s="17"/>
      <c r="M20" s="17"/>
      <c r="N20" s="17"/>
      <c r="O20" s="17"/>
      <c r="P20" s="17"/>
      <c r="Q20" s="17"/>
    </row>
    <row r="21" spans="2:17" ht="29.25" customHeight="1">
      <c r="C21" s="9"/>
      <c r="D21" s="5" t="str">
        <f>MAX($B$15:B21)&amp;"-"&amp;COUNTA($D$15:D20)+1</f>
        <v>1-6</v>
      </c>
      <c r="E21" s="303" t="s">
        <v>194</v>
      </c>
      <c r="F21" s="20"/>
      <c r="G21" s="138"/>
      <c r="H21" s="138"/>
      <c r="I21" s="138"/>
      <c r="J21" s="17"/>
      <c r="K21" s="17"/>
      <c r="L21" s="17"/>
      <c r="M21" s="17"/>
      <c r="N21" s="17"/>
      <c r="O21" s="17"/>
      <c r="P21" s="17"/>
      <c r="Q21" s="17"/>
    </row>
    <row r="22" spans="2:17" ht="29.25" customHeight="1">
      <c r="C22" s="9"/>
      <c r="D22" s="5" t="str">
        <f>MAX($B$15:B22)&amp;"-"&amp;COUNTA($D$15:D21)+1</f>
        <v>1-7</v>
      </c>
      <c r="E22" s="303" t="s">
        <v>195</v>
      </c>
      <c r="F22" s="19"/>
      <c r="G22" s="138"/>
      <c r="H22" s="138"/>
      <c r="I22" s="138"/>
      <c r="J22" s="17"/>
      <c r="K22" s="17"/>
      <c r="L22" s="17"/>
      <c r="M22" s="17"/>
      <c r="N22" s="17"/>
      <c r="O22" s="17"/>
      <c r="P22" s="17"/>
      <c r="Q22" s="17"/>
    </row>
    <row r="23" spans="2:17" ht="29.25" customHeight="1">
      <c r="C23" s="9"/>
      <c r="D23" s="5" t="str">
        <f>MAX($B$15:B23)&amp;"-"&amp;COUNTA($D$15:D22)+1</f>
        <v>1-8</v>
      </c>
      <c r="E23" s="303" t="s">
        <v>196</v>
      </c>
      <c r="F23" s="19"/>
      <c r="G23" s="138"/>
      <c r="H23" s="138"/>
      <c r="I23" s="138"/>
      <c r="J23" s="17"/>
      <c r="K23" s="17"/>
      <c r="L23" s="17"/>
      <c r="M23" s="17"/>
      <c r="N23" s="17"/>
      <c r="O23" s="17"/>
      <c r="P23" s="17"/>
      <c r="Q23" s="17"/>
    </row>
    <row r="24" spans="2:17" ht="29.25" customHeight="1">
      <c r="C24" s="9"/>
      <c r="D24" s="5" t="str">
        <f>MAX($B$15:B24)&amp;"-"&amp;COUNTA($D$15:D23)+1</f>
        <v>1-9</v>
      </c>
      <c r="E24" s="303" t="s">
        <v>197</v>
      </c>
      <c r="F24" s="20"/>
      <c r="G24" s="12">
        <f>G16-G21</f>
        <v>0</v>
      </c>
      <c r="H24" s="12">
        <f>H16-H21</f>
        <v>0</v>
      </c>
      <c r="I24" s="12">
        <f>I16-I21</f>
        <v>0</v>
      </c>
      <c r="J24" s="17"/>
      <c r="K24" s="17"/>
      <c r="L24" s="17"/>
      <c r="M24" s="17"/>
      <c r="N24" s="17"/>
      <c r="O24" s="17"/>
      <c r="P24" s="17"/>
      <c r="Q24" s="17"/>
    </row>
    <row r="25" spans="2:17" ht="29.25" customHeight="1">
      <c r="C25" s="9"/>
      <c r="D25" s="5" t="str">
        <f>MAX($B$15:B25)&amp;"-"&amp;COUNTA($D$15:D24)+1</f>
        <v>1-10</v>
      </c>
      <c r="E25" s="303" t="s">
        <v>198</v>
      </c>
      <c r="F25" s="19"/>
      <c r="G25" s="138"/>
      <c r="H25" s="138"/>
      <c r="I25" s="138"/>
      <c r="J25" s="17"/>
      <c r="K25" s="17"/>
      <c r="L25" s="17"/>
      <c r="M25" s="17"/>
      <c r="N25" s="17"/>
      <c r="O25" s="17"/>
      <c r="P25" s="17"/>
      <c r="Q25" s="17"/>
    </row>
    <row r="26" spans="2:17">
      <c r="B26" s="53"/>
      <c r="C26" s="3"/>
      <c r="I26" s="112"/>
    </row>
    <row r="27" spans="2:17" ht="35.15" customHeight="1">
      <c r="C27" s="3"/>
      <c r="I27" s="112"/>
      <c r="K27" s="375" t="s">
        <v>199</v>
      </c>
      <c r="L27" s="375"/>
      <c r="M27" s="375"/>
      <c r="N27" s="375"/>
      <c r="O27" s="196"/>
      <c r="P27" s="378" t="s">
        <v>200</v>
      </c>
      <c r="Q27" s="379"/>
    </row>
    <row r="28" spans="2:17" ht="25" customHeight="1">
      <c r="I28" s="112"/>
      <c r="K28" s="375"/>
      <c r="L28" s="375"/>
      <c r="M28" s="375"/>
      <c r="N28" s="375"/>
      <c r="O28" s="376" t="s">
        <v>201</v>
      </c>
      <c r="P28" s="380" t="str">
        <f>IF(AND(COUNTA($G$32:$Q$46)&gt;0,SUMIF($G$32:$Q$46,"&lt;&gt;"&amp;"")=0),"－",IFERROR((SUM(HLOOKUP(EDATE($F$13,0),$G$32:$Q$46,5,FALSE),HLOOKUP(EDATE($F$13,0),$G$32:$Q$46,6,FALSE))/SUM(HLOOKUP(EDATE($F$13,0),$G$32:$Q$46,9,FALSE),HLOOKUP(EDATE($F$13,0),$G$32:$Q$46,10,FALSE))/(SUM($I$36:$I$37)/SUM($I$40:$I$41)))^(1/(YEAR($F$13)-YEAR($I$12)-IF(MONTH($F$13)&lt;MONTH($I$12),1,0)))-1,""))</f>
        <v>－</v>
      </c>
      <c r="Q28" s="381"/>
    </row>
    <row r="29" spans="2:17" ht="25" customHeight="1">
      <c r="I29" s="112"/>
      <c r="K29" s="375"/>
      <c r="L29" s="375"/>
      <c r="M29" s="375"/>
      <c r="N29" s="375"/>
      <c r="O29" s="377"/>
      <c r="P29" s="382"/>
      <c r="Q29" s="383"/>
    </row>
    <row r="30" spans="2:17">
      <c r="I30" s="112"/>
    </row>
    <row r="31" spans="2:17">
      <c r="B31" s="53">
        <f>MAX($B$14:B25)+1</f>
        <v>2</v>
      </c>
      <c r="C31" s="45" t="s">
        <v>202</v>
      </c>
      <c r="G31" s="64" t="s">
        <v>181</v>
      </c>
      <c r="H31" s="64" t="s">
        <v>182</v>
      </c>
      <c r="I31" s="64" t="s">
        <v>183</v>
      </c>
      <c r="J31" s="132" t="s">
        <v>184</v>
      </c>
      <c r="K31" s="132"/>
      <c r="L31" s="132"/>
      <c r="M31" s="132"/>
      <c r="N31" s="132"/>
      <c r="O31" s="132"/>
      <c r="P31" s="132"/>
      <c r="Q31" s="132"/>
    </row>
    <row r="32" spans="2:17" ht="18" customHeight="1">
      <c r="D32" s="24"/>
      <c r="E32" s="293"/>
      <c r="F32" s="25"/>
      <c r="G32" s="63" t="str">
        <f>IF($I32="","",EDATE(H32,-12))</f>
        <v/>
      </c>
      <c r="H32" s="63" t="str">
        <f>IF($I32="","",EDATE(I32,-12))</f>
        <v/>
      </c>
      <c r="I32" s="63" t="str">
        <f>IF($I$12="","",$I$12)</f>
        <v/>
      </c>
      <c r="J32" s="63" t="str">
        <f t="shared" ref="J32:Q32" si="2">IF($I32="","",EDATE(I32,12))</f>
        <v/>
      </c>
      <c r="K32" s="63" t="str">
        <f t="shared" si="2"/>
        <v/>
      </c>
      <c r="L32" s="63" t="str">
        <f t="shared" si="2"/>
        <v/>
      </c>
      <c r="M32" s="63" t="str">
        <f t="shared" si="2"/>
        <v/>
      </c>
      <c r="N32" s="63" t="str">
        <f t="shared" si="2"/>
        <v/>
      </c>
      <c r="O32" s="63" t="str">
        <f t="shared" si="2"/>
        <v/>
      </c>
      <c r="P32" s="63" t="str">
        <f t="shared" si="2"/>
        <v/>
      </c>
      <c r="Q32" s="63" t="str">
        <f t="shared" si="2"/>
        <v/>
      </c>
    </row>
    <row r="33" spans="2:22" ht="29.25" customHeight="1">
      <c r="D33" s="5" t="str">
        <f>MAX($B$15:B33)&amp;"-"&amp;COUNTA($D$32:D32)+1</f>
        <v>2-1</v>
      </c>
      <c r="E33" s="303" t="s">
        <v>203</v>
      </c>
      <c r="F33" s="19"/>
      <c r="G33" s="138"/>
      <c r="H33" s="155"/>
      <c r="I33" s="138"/>
      <c r="J33" s="138"/>
      <c r="K33" s="138"/>
      <c r="L33" s="138"/>
      <c r="M33" s="138"/>
      <c r="N33" s="138"/>
      <c r="O33" s="106"/>
      <c r="P33" s="106"/>
      <c r="Q33" s="106"/>
      <c r="S33" s="294"/>
      <c r="T33" s="294"/>
      <c r="U33" s="294"/>
      <c r="V33" s="294"/>
    </row>
    <row r="34" spans="2:22" ht="29.25" customHeight="1">
      <c r="D34" s="5" t="str">
        <f>MAX($B$15:B34)&amp;"-"&amp;COUNTA($D$32:D33)+1</f>
        <v>2-2</v>
      </c>
      <c r="E34" s="303" t="s">
        <v>204</v>
      </c>
      <c r="F34" s="19"/>
      <c r="G34" s="138"/>
      <c r="H34" s="138"/>
      <c r="I34" s="138"/>
      <c r="J34" s="138"/>
      <c r="K34" s="138"/>
      <c r="L34" s="138"/>
      <c r="M34" s="138"/>
      <c r="N34" s="106"/>
      <c r="O34" s="106"/>
      <c r="P34" s="106"/>
      <c r="Q34" s="106"/>
      <c r="S34" s="294"/>
      <c r="T34" s="294"/>
      <c r="U34" s="294"/>
      <c r="V34" s="294"/>
    </row>
    <row r="35" spans="2:22" ht="29.25" customHeight="1">
      <c r="D35" s="5" t="str">
        <f>MAX($B$15:B35)&amp;"-"&amp;COUNTA($D$32:D34)+1</f>
        <v>2-3</v>
      </c>
      <c r="E35" s="303" t="s">
        <v>205</v>
      </c>
      <c r="F35" s="19"/>
      <c r="G35" s="138"/>
      <c r="H35" s="138"/>
      <c r="I35" s="138"/>
      <c r="J35" s="138"/>
      <c r="K35" s="138"/>
      <c r="L35" s="138"/>
      <c r="M35" s="138"/>
      <c r="N35" s="106"/>
      <c r="O35" s="106"/>
      <c r="P35" s="106"/>
      <c r="Q35" s="106"/>
      <c r="S35" s="294"/>
      <c r="T35" s="294"/>
      <c r="U35" s="294"/>
      <c r="V35" s="294"/>
    </row>
    <row r="36" spans="2:22" ht="29.25" customHeight="1">
      <c r="D36" s="5" t="str">
        <f>MAX($B$15:B36)&amp;"-"&amp;COUNTA($D$32:D35)+1</f>
        <v>2-4</v>
      </c>
      <c r="E36" s="303" t="s">
        <v>206</v>
      </c>
      <c r="F36" s="19"/>
      <c r="G36" s="138"/>
      <c r="H36" s="138"/>
      <c r="I36" s="138"/>
      <c r="J36" s="138"/>
      <c r="K36" s="138"/>
      <c r="L36" s="138"/>
      <c r="M36" s="138"/>
      <c r="N36" s="138"/>
      <c r="O36" s="106"/>
      <c r="P36" s="106"/>
      <c r="Q36" s="106"/>
      <c r="S36" s="294"/>
      <c r="T36" s="294"/>
      <c r="U36" s="294"/>
      <c r="V36" s="294"/>
    </row>
    <row r="37" spans="2:22" ht="29.25" customHeight="1">
      <c r="C37" s="9"/>
      <c r="D37" s="5" t="str">
        <f>MAX($B$15:B37)&amp;"-"&amp;COUNTA($D$32:D36)+1</f>
        <v>2-5</v>
      </c>
      <c r="E37" s="303" t="s">
        <v>207</v>
      </c>
      <c r="F37" s="19"/>
      <c r="G37" s="138"/>
      <c r="H37" s="138"/>
      <c r="I37" s="138"/>
      <c r="J37" s="138"/>
      <c r="K37" s="138"/>
      <c r="L37" s="138"/>
      <c r="M37" s="138"/>
      <c r="N37" s="138"/>
      <c r="O37" s="106"/>
      <c r="P37" s="106"/>
      <c r="Q37" s="106"/>
    </row>
    <row r="38" spans="2:22" ht="29.25" customHeight="1">
      <c r="C38" s="9"/>
      <c r="D38" s="5" t="str">
        <f>MAX($B$15:B38)&amp;"-"&amp;COUNTA($D$32:D37)+1</f>
        <v>2-6</v>
      </c>
      <c r="E38" s="303" t="s">
        <v>208</v>
      </c>
      <c r="F38" s="19"/>
      <c r="G38" s="138"/>
      <c r="H38" s="138"/>
      <c r="I38" s="138"/>
      <c r="J38" s="138"/>
      <c r="K38" s="138"/>
      <c r="L38" s="138"/>
      <c r="M38" s="138"/>
      <c r="N38" s="106"/>
      <c r="O38" s="106"/>
      <c r="P38" s="106"/>
      <c r="Q38" s="106"/>
    </row>
    <row r="39" spans="2:22" ht="29.25" customHeight="1">
      <c r="C39" s="9"/>
      <c r="D39" s="7" t="str">
        <f>MAX($B$15:B39)&amp;"-"&amp;COUNTA($D$32:D38)+1</f>
        <v>2-7</v>
      </c>
      <c r="E39" s="304" t="s">
        <v>209</v>
      </c>
      <c r="F39" s="21"/>
      <c r="G39" s="12">
        <f>+G35+G36+G37+G38</f>
        <v>0</v>
      </c>
      <c r="H39" s="13">
        <f>+H35+H36+H37+H38</f>
        <v>0</v>
      </c>
      <c r="I39" s="16">
        <f t="shared" ref="I39:P39" si="3">+I35+I36+I37+I38</f>
        <v>0</v>
      </c>
      <c r="J39" s="13">
        <f t="shared" si="3"/>
        <v>0</v>
      </c>
      <c r="K39" s="13">
        <f t="shared" si="3"/>
        <v>0</v>
      </c>
      <c r="L39" s="13">
        <f t="shared" si="3"/>
        <v>0</v>
      </c>
      <c r="M39" s="13">
        <f t="shared" si="3"/>
        <v>0</v>
      </c>
      <c r="N39" s="13">
        <f t="shared" si="3"/>
        <v>0</v>
      </c>
      <c r="O39" s="13">
        <f t="shared" si="3"/>
        <v>0</v>
      </c>
      <c r="P39" s="13">
        <f t="shared" si="3"/>
        <v>0</v>
      </c>
      <c r="Q39" s="13">
        <f>+Q35+Q36+Q37+Q38</f>
        <v>0</v>
      </c>
    </row>
    <row r="40" spans="2:22" ht="29.25" customHeight="1">
      <c r="C40" s="9"/>
      <c r="D40" s="5" t="str">
        <f>MAX($B$15:B40)&amp;"-"&amp;COUNTA($D$32:D39)+1</f>
        <v>2-8</v>
      </c>
      <c r="E40" s="305" t="s">
        <v>210</v>
      </c>
      <c r="F40" s="20" t="s">
        <v>211</v>
      </c>
      <c r="G40" s="306"/>
      <c r="H40" s="229"/>
      <c r="I40" s="307"/>
      <c r="J40" s="229"/>
      <c r="K40" s="229"/>
      <c r="L40" s="229"/>
      <c r="M40" s="229"/>
      <c r="N40" s="229"/>
      <c r="O40" s="229"/>
      <c r="P40" s="229"/>
      <c r="Q40" s="229"/>
    </row>
    <row r="41" spans="2:22" ht="29.25" customHeight="1">
      <c r="C41" s="9"/>
      <c r="D41" s="5" t="str">
        <f>MAX($B$15:B41)&amp;"-"&amp;COUNTA($D$32:D40)+1</f>
        <v>2-9</v>
      </c>
      <c r="E41" s="305" t="s">
        <v>212</v>
      </c>
      <c r="F41" s="19" t="s">
        <v>211</v>
      </c>
      <c r="G41" s="306"/>
      <c r="H41" s="306"/>
      <c r="I41" s="306"/>
      <c r="J41" s="306"/>
      <c r="K41" s="306"/>
      <c r="L41" s="306"/>
      <c r="M41" s="306"/>
      <c r="N41" s="229"/>
      <c r="O41" s="229"/>
      <c r="P41" s="229"/>
      <c r="Q41" s="229"/>
    </row>
    <row r="42" spans="2:22" ht="29.25" customHeight="1">
      <c r="C42" s="9"/>
      <c r="D42" s="7" t="str">
        <f>MAX($B$15:B42)&amp;"-"&amp;COUNTA($D$32:D41)+1</f>
        <v>2-10</v>
      </c>
      <c r="E42" s="304" t="s">
        <v>213</v>
      </c>
      <c r="F42" s="22"/>
      <c r="G42" s="12" t="str">
        <f>IFERROR(+G36/G40,"")</f>
        <v/>
      </c>
      <c r="H42" s="13" t="str">
        <f t="shared" ref="H42:Q42" si="4">IFERROR(+H36/H40,"")</f>
        <v/>
      </c>
      <c r="I42" s="16" t="str">
        <f t="shared" si="4"/>
        <v/>
      </c>
      <c r="J42" s="13" t="str">
        <f t="shared" si="4"/>
        <v/>
      </c>
      <c r="K42" s="13" t="str">
        <f t="shared" si="4"/>
        <v/>
      </c>
      <c r="L42" s="13" t="str">
        <f t="shared" si="4"/>
        <v/>
      </c>
      <c r="M42" s="13" t="str">
        <f t="shared" si="4"/>
        <v/>
      </c>
      <c r="N42" s="13" t="str">
        <f t="shared" si="4"/>
        <v/>
      </c>
      <c r="O42" s="13" t="str">
        <f t="shared" si="4"/>
        <v/>
      </c>
      <c r="P42" s="13" t="str">
        <f t="shared" si="4"/>
        <v/>
      </c>
      <c r="Q42" s="13" t="str">
        <f t="shared" si="4"/>
        <v/>
      </c>
    </row>
    <row r="43" spans="2:22" ht="29.25" customHeight="1">
      <c r="C43" s="9"/>
      <c r="D43" s="7" t="str">
        <f>MAX($B$15:B43)&amp;"-"&amp;COUNTA($D$32:D42)+1</f>
        <v>2-11</v>
      </c>
      <c r="E43" s="304" t="s">
        <v>214</v>
      </c>
      <c r="F43" s="22" t="s">
        <v>215</v>
      </c>
      <c r="G43" s="347"/>
      <c r="H43" s="48" t="str">
        <f t="shared" ref="H43:Q43" si="5">IFERROR((H42-G42)/G42,"")</f>
        <v/>
      </c>
      <c r="I43" s="49" t="str">
        <f t="shared" si="5"/>
        <v/>
      </c>
      <c r="J43" s="48" t="str">
        <f t="shared" si="5"/>
        <v/>
      </c>
      <c r="K43" s="48" t="str">
        <f t="shared" si="5"/>
        <v/>
      </c>
      <c r="L43" s="48" t="str">
        <f t="shared" si="5"/>
        <v/>
      </c>
      <c r="M43" s="48" t="str">
        <f t="shared" si="5"/>
        <v/>
      </c>
      <c r="N43" s="48" t="str">
        <f t="shared" si="5"/>
        <v/>
      </c>
      <c r="O43" s="48" t="str">
        <f t="shared" si="5"/>
        <v/>
      </c>
      <c r="P43" s="48" t="str">
        <f t="shared" si="5"/>
        <v/>
      </c>
      <c r="Q43" s="48" t="str">
        <f t="shared" si="5"/>
        <v/>
      </c>
    </row>
    <row r="44" spans="2:22" ht="29.25" customHeight="1">
      <c r="C44" s="9"/>
      <c r="D44" s="7" t="str">
        <f>MAX($B$15:B44)&amp;"-"&amp;COUNTA($D$32:D43)+1</f>
        <v>2-12</v>
      </c>
      <c r="E44" s="304" t="s">
        <v>216</v>
      </c>
      <c r="F44" s="21"/>
      <c r="G44" s="70" t="str">
        <f>IFERROR(+G37/G41,"")</f>
        <v/>
      </c>
      <c r="H44" s="71" t="str">
        <f t="shared" ref="H44:Q44" si="6">IFERROR(+H37/H41,"")</f>
        <v/>
      </c>
      <c r="I44" s="72" t="str">
        <f t="shared" si="6"/>
        <v/>
      </c>
      <c r="J44" s="71" t="str">
        <f t="shared" si="6"/>
        <v/>
      </c>
      <c r="K44" s="71" t="str">
        <f t="shared" si="6"/>
        <v/>
      </c>
      <c r="L44" s="71" t="str">
        <f t="shared" si="6"/>
        <v/>
      </c>
      <c r="M44" s="71" t="str">
        <f t="shared" si="6"/>
        <v/>
      </c>
      <c r="N44" s="71" t="str">
        <f t="shared" si="6"/>
        <v/>
      </c>
      <c r="O44" s="71" t="str">
        <f t="shared" si="6"/>
        <v/>
      </c>
      <c r="P44" s="13" t="str">
        <f t="shared" si="6"/>
        <v/>
      </c>
      <c r="Q44" s="13" t="str">
        <f t="shared" si="6"/>
        <v/>
      </c>
    </row>
    <row r="45" spans="2:22" ht="29.25" customHeight="1">
      <c r="C45" s="9"/>
      <c r="D45" s="7" t="str">
        <f>MAX($B$15:B45)&amp;"-"&amp;COUNTA($D$32:D44)+1</f>
        <v>2-13</v>
      </c>
      <c r="E45" s="304" t="s">
        <v>217</v>
      </c>
      <c r="F45" s="21" t="s">
        <v>218</v>
      </c>
      <c r="G45" s="348"/>
      <c r="H45" s="48" t="str">
        <f>IFERROR((H44-G44)/G44,"")</f>
        <v/>
      </c>
      <c r="I45" s="49" t="str">
        <f>IFERROR((I44-H44)/H44,"")</f>
        <v/>
      </c>
      <c r="J45" s="48" t="str">
        <f>IFERROR((J44-I44)/I44,"")</f>
        <v/>
      </c>
      <c r="K45" s="48" t="str">
        <f t="shared" ref="K45:Q45" si="7">IFERROR((K44-J44)/J44,"")</f>
        <v/>
      </c>
      <c r="L45" s="48" t="str">
        <f t="shared" si="7"/>
        <v/>
      </c>
      <c r="M45" s="48" t="str">
        <f t="shared" si="7"/>
        <v/>
      </c>
      <c r="N45" s="48" t="str">
        <f t="shared" si="7"/>
        <v/>
      </c>
      <c r="O45" s="48" t="str">
        <f t="shared" si="7"/>
        <v/>
      </c>
      <c r="P45" s="48" t="str">
        <f t="shared" si="7"/>
        <v/>
      </c>
      <c r="Q45" s="48" t="str">
        <f t="shared" si="7"/>
        <v/>
      </c>
    </row>
    <row r="46" spans="2:22" ht="29.25" customHeight="1">
      <c r="C46" s="9"/>
      <c r="D46" s="7" t="str">
        <f>MAX($B$15:B46)&amp;"-"&amp;COUNTA($D$32:D45)+1</f>
        <v>2-14</v>
      </c>
      <c r="E46" s="304" t="s">
        <v>219</v>
      </c>
      <c r="F46" s="22"/>
      <c r="G46" s="12" t="str">
        <f>IFERROR(+G39/(G40+G41),"")</f>
        <v/>
      </c>
      <c r="H46" s="13" t="str">
        <f t="shared" ref="H46:Q46" si="8">IFERROR(+H39/(H40+H41),"")</f>
        <v/>
      </c>
      <c r="I46" s="16" t="str">
        <f t="shared" si="8"/>
        <v/>
      </c>
      <c r="J46" s="13" t="str">
        <f t="shared" si="8"/>
        <v/>
      </c>
      <c r="K46" s="13" t="str">
        <f t="shared" si="8"/>
        <v/>
      </c>
      <c r="L46" s="13" t="str">
        <f t="shared" si="8"/>
        <v/>
      </c>
      <c r="M46" s="13" t="str">
        <f t="shared" si="8"/>
        <v/>
      </c>
      <c r="N46" s="13" t="str">
        <f t="shared" si="8"/>
        <v/>
      </c>
      <c r="O46" s="13" t="str">
        <f t="shared" si="8"/>
        <v/>
      </c>
      <c r="P46" s="13" t="str">
        <f t="shared" si="8"/>
        <v/>
      </c>
      <c r="Q46" s="13" t="str">
        <f t="shared" si="8"/>
        <v/>
      </c>
    </row>
    <row r="47" spans="2:22">
      <c r="D47" s="35"/>
      <c r="E47" s="209"/>
      <c r="F47" s="34"/>
      <c r="G47" s="34"/>
      <c r="H47" s="34"/>
      <c r="I47" s="34"/>
      <c r="J47" s="34"/>
      <c r="K47" s="34"/>
      <c r="L47" s="34"/>
      <c r="M47" s="34"/>
      <c r="N47" s="34"/>
      <c r="O47" s="34"/>
      <c r="P47" s="34"/>
    </row>
    <row r="48" spans="2:22">
      <c r="B48" s="53">
        <f>MAX($B$14:B47)+1</f>
        <v>3</v>
      </c>
      <c r="C48" s="46" t="s">
        <v>220</v>
      </c>
      <c r="D48" s="24"/>
      <c r="E48" s="293"/>
      <c r="F48" s="25"/>
      <c r="G48" s="11"/>
      <c r="H48" s="11"/>
      <c r="I48" s="11"/>
      <c r="J48" s="11"/>
      <c r="K48" s="11"/>
      <c r="L48" s="11"/>
      <c r="M48" s="11"/>
      <c r="N48" s="11"/>
      <c r="O48" s="11"/>
      <c r="P48" s="11"/>
    </row>
    <row r="49" spans="2:19" ht="29.25" customHeight="1">
      <c r="C49" s="34"/>
      <c r="D49" s="5" t="str">
        <f>MAX($B$15:B49)&amp;"-"&amp;COUNTA($D$48:D48)+1</f>
        <v>3-1</v>
      </c>
      <c r="E49" s="303" t="s">
        <v>221</v>
      </c>
      <c r="F49" s="19" t="s">
        <v>222</v>
      </c>
      <c r="G49" s="138"/>
      <c r="H49" s="106"/>
      <c r="I49" s="139"/>
      <c r="J49" s="139"/>
      <c r="K49" s="139"/>
      <c r="L49" s="139"/>
      <c r="M49" s="139"/>
      <c r="N49" s="139"/>
      <c r="O49" s="139"/>
      <c r="P49" s="139"/>
      <c r="Q49" s="106"/>
      <c r="R49" s="65" t="s">
        <v>223</v>
      </c>
      <c r="S49" s="65"/>
    </row>
    <row r="50" spans="2:19" ht="29.25" customHeight="1">
      <c r="D50" s="5" t="str">
        <f>MAX($B$15:B50)&amp;"-"&amp;COUNTA($D$48:D49)+1</f>
        <v>3-2</v>
      </c>
      <c r="E50" s="303" t="s">
        <v>224</v>
      </c>
      <c r="F50" s="19" t="s">
        <v>222</v>
      </c>
      <c r="G50" s="138"/>
      <c r="H50" s="106"/>
      <c r="I50" s="139"/>
      <c r="J50" s="139"/>
      <c r="K50" s="139"/>
      <c r="L50" s="139"/>
      <c r="M50" s="139"/>
      <c r="N50" s="139"/>
      <c r="O50" s="139"/>
      <c r="P50" s="139"/>
      <c r="Q50" s="106"/>
      <c r="R50" s="65" t="s">
        <v>225</v>
      </c>
    </row>
    <row r="51" spans="2:19" ht="29.25" customHeight="1">
      <c r="D51" s="5" t="str">
        <f>MAX($B$15:B51)&amp;"-"&amp;COUNTA($D$48:D50)+1</f>
        <v>3-3</v>
      </c>
      <c r="E51" s="303" t="s">
        <v>226</v>
      </c>
      <c r="F51" s="19" t="s">
        <v>222</v>
      </c>
      <c r="G51" s="138"/>
      <c r="H51" s="106"/>
      <c r="I51" s="139"/>
      <c r="J51" s="17"/>
      <c r="K51" s="17"/>
      <c r="L51" s="17"/>
      <c r="M51" s="17"/>
      <c r="N51" s="17"/>
      <c r="O51" s="17"/>
      <c r="P51" s="17"/>
      <c r="Q51" s="17"/>
      <c r="R51" s="65" t="s">
        <v>227</v>
      </c>
      <c r="S51" s="65"/>
    </row>
    <row r="52" spans="2:19" ht="29.25" customHeight="1">
      <c r="D52" s="5" t="str">
        <f>MAX($B$15:B52)&amp;"-"&amp;COUNTA($D$48:D51)+1</f>
        <v>3-4</v>
      </c>
      <c r="E52" s="303" t="s">
        <v>228</v>
      </c>
      <c r="F52" s="19" t="s">
        <v>222</v>
      </c>
      <c r="G52" s="138"/>
      <c r="H52" s="106"/>
      <c r="I52" s="139"/>
      <c r="J52" s="17"/>
      <c r="K52" s="17"/>
      <c r="L52" s="17"/>
      <c r="M52" s="17"/>
      <c r="N52" s="17"/>
      <c r="O52" s="17"/>
      <c r="P52" s="17"/>
      <c r="Q52" s="17"/>
      <c r="R52" s="65" t="s">
        <v>229</v>
      </c>
    </row>
    <row r="53" spans="2:19">
      <c r="E53" s="308"/>
      <c r="F53" s="6"/>
    </row>
    <row r="54" spans="2:19">
      <c r="B54" s="53">
        <f>MAX($B$14:B53)+1</f>
        <v>4</v>
      </c>
      <c r="C54" s="46" t="s">
        <v>230</v>
      </c>
      <c r="E54" s="308"/>
      <c r="F54" s="294"/>
    </row>
    <row r="55" spans="2:19" ht="29.25" customHeight="1">
      <c r="D55" s="5" t="str">
        <f>MAX($B$15:B60)&amp;"-"&amp;COUNTA($D$54:D54)+1</f>
        <v>4-1</v>
      </c>
      <c r="E55" s="218" t="s">
        <v>231</v>
      </c>
      <c r="F55" s="27" t="s">
        <v>232</v>
      </c>
      <c r="G55" s="358"/>
      <c r="I55" s="294"/>
      <c r="J55" s="294"/>
      <c r="K55" s="294"/>
      <c r="L55" s="294"/>
    </row>
    <row r="56" spans="2:19" ht="29.25" customHeight="1">
      <c r="D56" s="5" t="str">
        <f>MAX($B$15:B61)&amp;"-"&amp;COUNTA($D$54:D55)+1</f>
        <v>4-2</v>
      </c>
      <c r="E56" s="218" t="s">
        <v>233</v>
      </c>
      <c r="F56" s="362" t="s">
        <v>232</v>
      </c>
      <c r="G56" s="363"/>
      <c r="I56" s="294"/>
      <c r="J56" s="294"/>
      <c r="K56" s="294"/>
      <c r="L56" s="294"/>
      <c r="M56" s="47"/>
    </row>
    <row r="57" spans="2:19" ht="29.25" customHeight="1">
      <c r="D57" s="5" t="str">
        <f>MAX($B$15:B61)&amp;"-"&amp;COUNTA($D$54:D56)+1</f>
        <v>4-3</v>
      </c>
      <c r="E57" s="355" t="s">
        <v>234</v>
      </c>
      <c r="F57" s="27" t="s">
        <v>218</v>
      </c>
      <c r="G57" s="359"/>
      <c r="I57" s="294"/>
      <c r="J57" s="294"/>
      <c r="K57" s="294"/>
      <c r="L57" s="294"/>
    </row>
    <row r="58" spans="2:19" ht="29.25" customHeight="1">
      <c r="D58" s="5" t="str">
        <f>MAX($B$15:B57)&amp;"-"&amp;COUNTA($D$54:D57)+1</f>
        <v>4-4</v>
      </c>
      <c r="E58" s="355" t="s">
        <v>235</v>
      </c>
      <c r="F58" s="362" t="s">
        <v>218</v>
      </c>
      <c r="G58" s="364"/>
      <c r="I58" s="294"/>
      <c r="J58" s="294"/>
      <c r="K58" s="294"/>
      <c r="L58" s="294"/>
    </row>
    <row r="59" spans="2:19" ht="29.25" customHeight="1">
      <c r="D59" s="5" t="str">
        <f>MAX($B$15:B58)&amp;"-"&amp;COUNTA($D$54:D58)+1</f>
        <v>4-5</v>
      </c>
      <c r="E59" s="218" t="s">
        <v>236</v>
      </c>
      <c r="F59" s="27" t="s">
        <v>218</v>
      </c>
      <c r="G59" s="359"/>
      <c r="I59" s="294"/>
      <c r="J59" s="294"/>
      <c r="K59" s="294"/>
      <c r="L59" s="294"/>
    </row>
    <row r="60" spans="2:19" ht="29.25" customHeight="1">
      <c r="D60" s="5" t="str">
        <f>MAX($B$15:B59)&amp;"-"&amp;COUNTA($D$54:D59)+1</f>
        <v>4-6</v>
      </c>
      <c r="E60" s="218" t="s">
        <v>237</v>
      </c>
      <c r="F60" s="362" t="s">
        <v>218</v>
      </c>
      <c r="G60" s="364"/>
      <c r="I60" s="294"/>
      <c r="J60" s="294"/>
      <c r="K60" s="294"/>
      <c r="L60" s="294"/>
    </row>
    <row r="61" spans="2:19">
      <c r="E61" s="1"/>
    </row>
    <row r="62" spans="2:19">
      <c r="B62" s="53">
        <f>MAX($B$14:B61)+1</f>
        <v>5</v>
      </c>
      <c r="C62" s="45" t="s">
        <v>238</v>
      </c>
    </row>
    <row r="63" spans="2:19">
      <c r="B63" s="53"/>
      <c r="C63" s="120" t="s">
        <v>1145</v>
      </c>
      <c r="D63" s="6"/>
    </row>
    <row r="64" spans="2:19">
      <c r="B64" s="53"/>
      <c r="C64" s="120" t="s">
        <v>239</v>
      </c>
      <c r="D64" s="6"/>
    </row>
    <row r="65" spans="2:15" ht="29.25" customHeight="1">
      <c r="C65" s="34"/>
      <c r="D65" s="5" t="str">
        <f>MAX($B$15:B65)&amp;"-"&amp;COUNTA($D$62:D62)+1</f>
        <v>5-1</v>
      </c>
      <c r="E65" s="303" t="s">
        <v>240</v>
      </c>
      <c r="F65" s="19" t="s">
        <v>241</v>
      </c>
      <c r="G65" s="140"/>
      <c r="J65" s="114" t="s">
        <v>242</v>
      </c>
      <c r="K65" s="294"/>
      <c r="L65" s="294"/>
      <c r="M65" s="294"/>
      <c r="N65" s="294"/>
    </row>
    <row r="66" spans="2:15" ht="29.25" customHeight="1">
      <c r="D66" s="5" t="str">
        <f>MAX($B$15:B66)&amp;"-"&amp;COUNTA($D$62:D65)+1</f>
        <v>5-2</v>
      </c>
      <c r="E66" s="303" t="s">
        <v>243</v>
      </c>
      <c r="F66" s="19" t="s">
        <v>241</v>
      </c>
      <c r="G66" s="140"/>
      <c r="J66" s="114" t="s">
        <v>244</v>
      </c>
      <c r="K66" s="294"/>
      <c r="L66" s="294"/>
      <c r="M66" s="294"/>
      <c r="N66" s="294"/>
    </row>
    <row r="67" spans="2:15" ht="29.25" customHeight="1">
      <c r="D67" s="5" t="str">
        <f>MAX($B$15:B67)&amp;"-"&amp;COUNTA($D$62:D66)+1</f>
        <v>5-3</v>
      </c>
      <c r="E67" s="293" t="s">
        <v>245</v>
      </c>
      <c r="F67" s="19" t="s">
        <v>241</v>
      </c>
      <c r="G67" s="140"/>
      <c r="J67" s="230" t="s">
        <v>246</v>
      </c>
      <c r="K67" s="294"/>
      <c r="L67" s="294"/>
      <c r="M67" s="294"/>
      <c r="N67" s="294"/>
    </row>
    <row r="68" spans="2:15" ht="29.25" customHeight="1">
      <c r="D68" s="5" t="str">
        <f>MAX($B$15:B68)&amp;"-"&amp;COUNTA($D$62:D67)+1</f>
        <v>5-4</v>
      </c>
      <c r="E68" s="293" t="s">
        <v>1143</v>
      </c>
      <c r="F68" s="19" t="s">
        <v>241</v>
      </c>
      <c r="G68" s="140"/>
      <c r="H68" s="345" t="s">
        <v>247</v>
      </c>
      <c r="J68" s="230" t="s">
        <v>248</v>
      </c>
      <c r="N68" s="230"/>
    </row>
    <row r="69" spans="2:15" ht="29.25" customHeight="1">
      <c r="D69" s="5" t="str">
        <f>MAX($B$15:B69)&amp;"-"&amp;COUNTA($D$62:D68)+1</f>
        <v>5-5</v>
      </c>
      <c r="E69" s="356" t="s">
        <v>1142</v>
      </c>
      <c r="F69" s="19" t="s">
        <v>241</v>
      </c>
      <c r="G69" s="140"/>
      <c r="H69" s="345" t="s">
        <v>247</v>
      </c>
      <c r="J69" s="230" t="s">
        <v>249</v>
      </c>
      <c r="N69" s="230"/>
    </row>
    <row r="70" spans="2:15" ht="36" customHeight="1">
      <c r="D70" s="5" t="str">
        <f>MAX($B$15:B70)&amp;"-"&amp;COUNTA($D$62:D69)+1</f>
        <v>5-6</v>
      </c>
      <c r="E70" s="218" t="s">
        <v>250</v>
      </c>
      <c r="F70" s="19" t="s">
        <v>241</v>
      </c>
      <c r="G70" s="143"/>
      <c r="J70" s="230" t="s">
        <v>251</v>
      </c>
      <c r="N70" s="230"/>
    </row>
    <row r="71" spans="2:15" ht="29.25" customHeight="1">
      <c r="D71" s="5" t="str">
        <f>MAX($B$15:B71)&amp;"-"&amp;COUNTA($D$62:D70)+1</f>
        <v>5-7</v>
      </c>
      <c r="E71" s="356" t="s">
        <v>252</v>
      </c>
      <c r="F71" s="19" t="s">
        <v>241</v>
      </c>
      <c r="G71" s="145"/>
      <c r="H71" s="67"/>
    </row>
    <row r="72" spans="2:15" ht="29.25" customHeight="1">
      <c r="D72" s="5" t="str">
        <f>MAX($B$15:B72)&amp;"-"&amp;COUNTA($D$62:D71)+1</f>
        <v>5-8</v>
      </c>
      <c r="E72" s="356" t="s">
        <v>253</v>
      </c>
      <c r="F72" s="19" t="s">
        <v>241</v>
      </c>
      <c r="G72" s="141"/>
      <c r="H72" s="230"/>
    </row>
    <row r="73" spans="2:15" ht="29.25" customHeight="1">
      <c r="D73" s="5" t="str">
        <f>MAX($B$15:B73)&amp;"-"&amp;COUNTA($D$62:D72)+1</f>
        <v>5-9</v>
      </c>
      <c r="E73" s="357" t="s">
        <v>254</v>
      </c>
      <c r="F73" s="55" t="s">
        <v>241</v>
      </c>
      <c r="G73" s="349"/>
    </row>
    <row r="74" spans="2:15" ht="29.25" customHeight="1">
      <c r="D74" s="5" t="str">
        <f>MAX($B$15:B74)&amp;"-"&amp;COUNTA($D$62:D73)+1</f>
        <v>5-10</v>
      </c>
      <c r="E74" s="293" t="s">
        <v>255</v>
      </c>
      <c r="F74" s="19" t="s">
        <v>256</v>
      </c>
      <c r="G74" s="350"/>
    </row>
    <row r="75" spans="2:15">
      <c r="D75" s="230" t="s">
        <v>257</v>
      </c>
      <c r="E75" s="309"/>
      <c r="F75" s="6"/>
      <c r="G75" s="231"/>
      <c r="H75" s="231"/>
      <c r="I75" s="231"/>
      <c r="J75" s="231"/>
      <c r="K75" s="231"/>
      <c r="L75" s="231"/>
      <c r="M75" s="231"/>
      <c r="N75" s="231"/>
      <c r="O75" s="231"/>
    </row>
    <row r="76" spans="2:15">
      <c r="E76" s="308"/>
      <c r="F76" s="6"/>
      <c r="G76" s="231"/>
      <c r="H76" s="231"/>
      <c r="I76" s="231"/>
      <c r="J76" s="231"/>
      <c r="K76" s="231"/>
      <c r="L76" s="231"/>
      <c r="M76" s="231"/>
      <c r="N76" s="231"/>
      <c r="O76" s="231"/>
    </row>
    <row r="77" spans="2:15" ht="20">
      <c r="B77" s="18" t="s">
        <v>258</v>
      </c>
      <c r="D77" s="1"/>
      <c r="G77" s="231"/>
      <c r="H77" s="231"/>
      <c r="I77" s="231"/>
      <c r="J77" s="231"/>
      <c r="K77" s="231"/>
      <c r="L77" s="231"/>
      <c r="M77" s="231"/>
      <c r="N77" s="231"/>
      <c r="O77" s="231"/>
    </row>
    <row r="78" spans="2:15">
      <c r="B78" s="53">
        <f>MAX($B$14:B77)+1</f>
        <v>6</v>
      </c>
      <c r="C78" s="45" t="s">
        <v>259</v>
      </c>
      <c r="D78" s="4"/>
      <c r="E78" s="308"/>
      <c r="F78" s="6"/>
      <c r="G78" s="231"/>
      <c r="H78" s="231"/>
      <c r="I78" s="231"/>
      <c r="J78" s="231"/>
      <c r="K78" s="231"/>
      <c r="L78" s="231"/>
      <c r="M78" s="231"/>
      <c r="N78" s="231"/>
      <c r="O78" s="231"/>
    </row>
    <row r="79" spans="2:15">
      <c r="B79" s="53"/>
      <c r="C79" s="127" t="s">
        <v>260</v>
      </c>
      <c r="D79" s="4"/>
      <c r="E79" s="308"/>
      <c r="F79" s="6"/>
      <c r="G79" s="231"/>
      <c r="H79" s="231"/>
      <c r="I79" s="231"/>
      <c r="J79" s="231"/>
      <c r="K79" s="231"/>
      <c r="L79" s="231"/>
      <c r="M79" s="231"/>
      <c r="N79" s="231"/>
      <c r="O79" s="231"/>
    </row>
    <row r="80" spans="2:15">
      <c r="B80" s="53"/>
      <c r="C80" s="127" t="s">
        <v>261</v>
      </c>
      <c r="D80" s="4"/>
      <c r="E80" s="308"/>
      <c r="F80" s="6"/>
      <c r="G80" s="231"/>
      <c r="H80" s="231"/>
      <c r="I80" s="231"/>
      <c r="J80" s="231"/>
      <c r="K80" s="231"/>
      <c r="L80" s="231"/>
      <c r="M80" s="231"/>
      <c r="N80" s="231"/>
      <c r="O80" s="231"/>
    </row>
    <row r="81" spans="3:17" ht="29.25" customHeight="1">
      <c r="C81" s="34"/>
      <c r="D81" s="5" t="str">
        <f>MAX($B$15:B81)&amp;"-"&amp;COUNTA($D$78:D78)+1</f>
        <v>6-1</v>
      </c>
      <c r="E81" s="303" t="s">
        <v>203</v>
      </c>
      <c r="F81" s="19"/>
      <c r="G81" s="138"/>
      <c r="H81" s="106"/>
      <c r="I81" s="106"/>
      <c r="J81" s="106"/>
      <c r="K81" s="106"/>
      <c r="L81" s="106"/>
      <c r="M81" s="106"/>
      <c r="N81" s="106"/>
      <c r="O81" s="106"/>
      <c r="P81" s="106"/>
      <c r="Q81" s="106"/>
    </row>
    <row r="82" spans="3:17" ht="29.25" customHeight="1">
      <c r="D82" s="5" t="str">
        <f>MAX($B$15:B82)&amp;"-"&amp;COUNTA($D$78:D81)+1</f>
        <v>6-2</v>
      </c>
      <c r="E82" s="303" t="s">
        <v>204</v>
      </c>
      <c r="F82" s="19"/>
      <c r="G82" s="138"/>
      <c r="H82" s="138"/>
      <c r="I82" s="138"/>
      <c r="J82" s="138"/>
      <c r="K82" s="138"/>
      <c r="L82" s="138"/>
      <c r="M82" s="138"/>
      <c r="N82" s="106"/>
      <c r="O82" s="106"/>
      <c r="P82" s="106"/>
      <c r="Q82" s="106"/>
    </row>
    <row r="83" spans="3:17" ht="29.25" customHeight="1">
      <c r="D83" s="5" t="str">
        <f>MAX($B$15:B83)&amp;"-"&amp;COUNTA($D$78:D82)+1</f>
        <v>6-3</v>
      </c>
      <c r="E83" s="303" t="s">
        <v>205</v>
      </c>
      <c r="F83" s="19"/>
      <c r="G83" s="138"/>
      <c r="H83" s="138"/>
      <c r="I83" s="138"/>
      <c r="J83" s="138"/>
      <c r="K83" s="138"/>
      <c r="L83" s="138"/>
      <c r="M83" s="138"/>
      <c r="N83" s="106"/>
      <c r="O83" s="106"/>
      <c r="P83" s="106"/>
      <c r="Q83" s="106"/>
    </row>
    <row r="84" spans="3:17" ht="29.25" customHeight="1">
      <c r="C84" s="9"/>
      <c r="D84" s="7" t="str">
        <f>MAX($B$15:B84)&amp;"-"&amp;COUNTA($D$78:D83)+1</f>
        <v>6-4</v>
      </c>
      <c r="E84" s="310" t="s">
        <v>206</v>
      </c>
      <c r="F84" s="21"/>
      <c r="G84" s="232">
        <f>+G120+G138+G156+G174+G192+G210+G228+G246+G264+G282+G300+G318+G336+G354+G372+G390+G408+G426+G444+G462+G480+G498+G516+G534+G552+G570+G588+G606+G624+G642+G660+G678+G696+G714+G732+G750+G768+G786+G804+G822+G840+G858+G876+G894+G912+G930+G948</f>
        <v>0</v>
      </c>
      <c r="H84" s="233">
        <f>+H120+H138+H156+H174+H192+H210+H228+H246+H264+H282+H300+H318+H336+H354+H372+H390+H408+H426+H444+H462+H480+H498+H516+H534+H552+H570+H588+H606+H624+H642+H660+H678+H696+H714+H732+H750+H768+H786+H804+H822+H840+H858+H876+H894+H912+H930+H948</f>
        <v>0</v>
      </c>
      <c r="I84" s="234">
        <f t="shared" ref="I84:Q84" si="9">+I120+I138+I156+I174+I192+I210+I228+I246+I264+I282+I300+I318+I336+I354+I372+I390+I408+I426+I444+I462+I480+I498+I516+I534+I552+I570+I588+I606+I624+I642+I660+I678+I696+I714+I732+I750+I768+I786+I804+I822+I840+I858+I876+I894+I912+I930+I948</f>
        <v>0</v>
      </c>
      <c r="J84" s="233">
        <f t="shared" si="9"/>
        <v>0</v>
      </c>
      <c r="K84" s="233">
        <f t="shared" si="9"/>
        <v>0</v>
      </c>
      <c r="L84" s="233">
        <f t="shared" si="9"/>
        <v>0</v>
      </c>
      <c r="M84" s="233">
        <f t="shared" si="9"/>
        <v>0</v>
      </c>
      <c r="N84" s="233">
        <f t="shared" si="9"/>
        <v>0</v>
      </c>
      <c r="O84" s="233">
        <f t="shared" si="9"/>
        <v>0</v>
      </c>
      <c r="P84" s="233">
        <f t="shared" si="9"/>
        <v>0</v>
      </c>
      <c r="Q84" s="233">
        <f t="shared" si="9"/>
        <v>0</v>
      </c>
    </row>
    <row r="85" spans="3:17" ht="29.25" customHeight="1">
      <c r="C85" s="9"/>
      <c r="D85" s="7" t="str">
        <f>MAX($B$15:B85)&amp;"-"&amp;COUNTA($D$78:D84)+1</f>
        <v>6-5</v>
      </c>
      <c r="E85" s="310" t="s">
        <v>207</v>
      </c>
      <c r="F85" s="21"/>
      <c r="G85" s="232">
        <f t="shared" ref="G85:Q85" si="10">+G121+G139+G157+G175+G193+G211+G229+G247+G265+G283+G301+G319+G337+G355+G373+G391+G409+G427+G445+G463+G481+G499+G517+G535+G553+G571+G589+G607+G625+G643+G661+G679+G697+G715+G733+G751+G769+G787+G805+G823+G841+G859+G877+G895+G913+G931+G949</f>
        <v>0</v>
      </c>
      <c r="H85" s="233">
        <f t="shared" si="10"/>
        <v>0</v>
      </c>
      <c r="I85" s="234">
        <f t="shared" si="10"/>
        <v>0</v>
      </c>
      <c r="J85" s="233">
        <f t="shared" si="10"/>
        <v>0</v>
      </c>
      <c r="K85" s="233">
        <f t="shared" si="10"/>
        <v>0</v>
      </c>
      <c r="L85" s="233">
        <f t="shared" si="10"/>
        <v>0</v>
      </c>
      <c r="M85" s="233">
        <f t="shared" si="10"/>
        <v>0</v>
      </c>
      <c r="N85" s="233">
        <f t="shared" si="10"/>
        <v>0</v>
      </c>
      <c r="O85" s="233">
        <f t="shared" si="10"/>
        <v>0</v>
      </c>
      <c r="P85" s="233">
        <f t="shared" si="10"/>
        <v>0</v>
      </c>
      <c r="Q85" s="233">
        <f t="shared" si="10"/>
        <v>0</v>
      </c>
    </row>
    <row r="86" spans="3:17" ht="29.25" customHeight="1">
      <c r="C86" s="9"/>
      <c r="D86" s="5" t="str">
        <f>MAX($B$15:B86)&amp;"-"&amp;COUNTA($D$78:D85)+1</f>
        <v>6-6</v>
      </c>
      <c r="E86" s="303" t="s">
        <v>208</v>
      </c>
      <c r="F86" s="19"/>
      <c r="G86" s="138"/>
      <c r="H86" s="138"/>
      <c r="I86" s="138"/>
      <c r="J86" s="138"/>
      <c r="K86" s="138"/>
      <c r="L86" s="138"/>
      <c r="M86" s="138"/>
      <c r="N86" s="106"/>
      <c r="O86" s="106"/>
      <c r="P86" s="106"/>
      <c r="Q86" s="106"/>
    </row>
    <row r="87" spans="3:17" ht="29.25" customHeight="1">
      <c r="C87" s="9"/>
      <c r="D87" s="7" t="str">
        <f>MAX($B$15:B87)&amp;"-"&amp;COUNTA($D$78:D86)+1</f>
        <v>6-7</v>
      </c>
      <c r="E87" s="304" t="s">
        <v>209</v>
      </c>
      <c r="F87" s="21"/>
      <c r="G87" s="12">
        <f>+G83+G84+G85+G86</f>
        <v>0</v>
      </c>
      <c r="H87" s="13">
        <f>+H83+H84+H85+H86</f>
        <v>0</v>
      </c>
      <c r="I87" s="16">
        <f t="shared" ref="I87:P87" si="11">+I83+I84+I85+I86</f>
        <v>0</v>
      </c>
      <c r="J87" s="13">
        <f t="shared" si="11"/>
        <v>0</v>
      </c>
      <c r="K87" s="13">
        <f t="shared" si="11"/>
        <v>0</v>
      </c>
      <c r="L87" s="13">
        <f t="shared" si="11"/>
        <v>0</v>
      </c>
      <c r="M87" s="13">
        <f t="shared" si="11"/>
        <v>0</v>
      </c>
      <c r="N87" s="13">
        <f t="shared" si="11"/>
        <v>0</v>
      </c>
      <c r="O87" s="13">
        <f t="shared" si="11"/>
        <v>0</v>
      </c>
      <c r="P87" s="13">
        <f t="shared" si="11"/>
        <v>0</v>
      </c>
      <c r="Q87" s="13">
        <f>+Q83+Q84+Q85+Q86</f>
        <v>0</v>
      </c>
    </row>
    <row r="88" spans="3:17" ht="29.25" customHeight="1">
      <c r="C88" s="9"/>
      <c r="D88" s="7" t="str">
        <f>MAX($B$15:B88)&amp;"-"&amp;COUNTA($D$78:D87)+1</f>
        <v>6-8</v>
      </c>
      <c r="E88" s="304" t="s">
        <v>210</v>
      </c>
      <c r="F88" s="22" t="s">
        <v>211</v>
      </c>
      <c r="G88" s="235">
        <f>+G122+G140+G158+G176+G194+G212+G230+G248+G266+G284+G302+G320+G338+G356+G374+G392+G410+G428+G446+G464+G482+G500+G518+G536+G554+G572+G590+G608+G626+G644+G662+G680+G698+G716+G734+G752+G770+G788+G806+G824+G842+G860+G878+G896+G914+G932+G950</f>
        <v>0</v>
      </c>
      <c r="H88" s="236">
        <f t="shared" ref="H88:Q89" si="12">+H122+H140+H158+H176+H194+H212+H230+H248+H266+H284+H302+H320+H338+H356+H374+H392+H410+H428+H446+H464+H482+H500+H518+H536+H554+H572+H590+H608+H626+H644+H662+H680+H698+H716+H734+H752+H770+H788+H806+H824+H842+H860+H878+H896+H914+H932+H950</f>
        <v>0</v>
      </c>
      <c r="I88" s="237">
        <f t="shared" si="12"/>
        <v>0</v>
      </c>
      <c r="J88" s="236">
        <f t="shared" si="12"/>
        <v>0</v>
      </c>
      <c r="K88" s="236">
        <f t="shared" si="12"/>
        <v>0</v>
      </c>
      <c r="L88" s="236">
        <f t="shared" si="12"/>
        <v>0</v>
      </c>
      <c r="M88" s="236">
        <f t="shared" si="12"/>
        <v>0</v>
      </c>
      <c r="N88" s="236">
        <f t="shared" si="12"/>
        <v>0</v>
      </c>
      <c r="O88" s="236">
        <f t="shared" si="12"/>
        <v>0</v>
      </c>
      <c r="P88" s="236">
        <f t="shared" si="12"/>
        <v>0</v>
      </c>
      <c r="Q88" s="236">
        <f t="shared" si="12"/>
        <v>0</v>
      </c>
    </row>
    <row r="89" spans="3:17" ht="29.25" customHeight="1">
      <c r="C89" s="9"/>
      <c r="D89" s="7" t="str">
        <f>MAX($B$15:B89)&amp;"-"&amp;COUNTA($D$78:D88)+1</f>
        <v>6-9</v>
      </c>
      <c r="E89" s="304" t="s">
        <v>212</v>
      </c>
      <c r="F89" s="22" t="s">
        <v>211</v>
      </c>
      <c r="G89" s="235">
        <f>+G123+G141+G159+G177+G195+G213+G231+G249+G267+G285+G303+G321+G339+G357+G375+G393+G411+G429+G447+G465+G483+G501+G519+G537+G555+G573+G591+G609+G627+G645+G663+G681+G699+G717+G735+G753+G771+G789+G807+G825+G843+G861+G879+G897+G915+G933+G951</f>
        <v>0</v>
      </c>
      <c r="H89" s="236">
        <f t="shared" si="12"/>
        <v>0</v>
      </c>
      <c r="I89" s="237">
        <f t="shared" si="12"/>
        <v>0</v>
      </c>
      <c r="J89" s="236">
        <f t="shared" si="12"/>
        <v>0</v>
      </c>
      <c r="K89" s="236">
        <f t="shared" si="12"/>
        <v>0</v>
      </c>
      <c r="L89" s="236">
        <f t="shared" si="12"/>
        <v>0</v>
      </c>
      <c r="M89" s="236">
        <f t="shared" si="12"/>
        <v>0</v>
      </c>
      <c r="N89" s="236">
        <f t="shared" si="12"/>
        <v>0</v>
      </c>
      <c r="O89" s="236">
        <f t="shared" si="12"/>
        <v>0</v>
      </c>
      <c r="P89" s="236">
        <f t="shared" si="12"/>
        <v>0</v>
      </c>
      <c r="Q89" s="236">
        <f t="shared" si="12"/>
        <v>0</v>
      </c>
    </row>
    <row r="90" spans="3:17" ht="29.25" customHeight="1">
      <c r="C90" s="9"/>
      <c r="D90" s="7" t="str">
        <f>MAX($B$15:B90)&amp;"-"&amp;COUNTA($D$78:D89)+1</f>
        <v>6-10</v>
      </c>
      <c r="E90" s="304" t="s">
        <v>213</v>
      </c>
      <c r="F90" s="22"/>
      <c r="G90" s="70" t="str">
        <f>IFERROR(+G84/G88,"")</f>
        <v/>
      </c>
      <c r="H90" s="71" t="str">
        <f t="shared" ref="H90:Q90" si="13">IFERROR(+H84/H88,"")</f>
        <v/>
      </c>
      <c r="I90" s="72" t="str">
        <f>IFERROR(+I84/I88,"")</f>
        <v/>
      </c>
      <c r="J90" s="71" t="str">
        <f t="shared" si="13"/>
        <v/>
      </c>
      <c r="K90" s="71" t="str">
        <f t="shared" si="13"/>
        <v/>
      </c>
      <c r="L90" s="71" t="str">
        <f t="shared" si="13"/>
        <v/>
      </c>
      <c r="M90" s="71" t="str">
        <f t="shared" si="13"/>
        <v/>
      </c>
      <c r="N90" s="71" t="str">
        <f t="shared" si="13"/>
        <v/>
      </c>
      <c r="O90" s="71" t="str">
        <f t="shared" si="13"/>
        <v/>
      </c>
      <c r="P90" s="71" t="str">
        <f t="shared" si="13"/>
        <v/>
      </c>
      <c r="Q90" s="71" t="str">
        <f t="shared" si="13"/>
        <v/>
      </c>
    </row>
    <row r="91" spans="3:17" ht="29.25" customHeight="1">
      <c r="C91" s="9"/>
      <c r="D91" s="7" t="str">
        <f>MAX($B$15:B91)&amp;"-"&amp;COUNTA($D$78:D90)+1</f>
        <v>6-11</v>
      </c>
      <c r="E91" s="304" t="s">
        <v>214</v>
      </c>
      <c r="F91" s="22" t="s">
        <v>215</v>
      </c>
      <c r="G91" s="348"/>
      <c r="H91" s="48" t="str">
        <f>IFERROR((H90-G90)/G90,"")</f>
        <v/>
      </c>
      <c r="I91" s="49" t="str">
        <f t="shared" ref="I91:Q91" si="14">IFERROR((I90-H90)/H90,"")</f>
        <v/>
      </c>
      <c r="J91" s="48" t="str">
        <f t="shared" si="14"/>
        <v/>
      </c>
      <c r="K91" s="48" t="str">
        <f t="shared" si="14"/>
        <v/>
      </c>
      <c r="L91" s="48" t="str">
        <f t="shared" si="14"/>
        <v/>
      </c>
      <c r="M91" s="48" t="str">
        <f t="shared" si="14"/>
        <v/>
      </c>
      <c r="N91" s="48" t="str">
        <f t="shared" si="14"/>
        <v/>
      </c>
      <c r="O91" s="48" t="str">
        <f t="shared" si="14"/>
        <v/>
      </c>
      <c r="P91" s="48" t="str">
        <f t="shared" si="14"/>
        <v/>
      </c>
      <c r="Q91" s="48" t="str">
        <f t="shared" si="14"/>
        <v/>
      </c>
    </row>
    <row r="92" spans="3:17" ht="29.25" customHeight="1">
      <c r="C92" s="9"/>
      <c r="D92" s="7" t="str">
        <f>MAX($B$15:B92)&amp;"-"&amp;COUNTA($D$78:D91)+1</f>
        <v>6-12</v>
      </c>
      <c r="E92" s="304" t="s">
        <v>216</v>
      </c>
      <c r="F92" s="21"/>
      <c r="G92" s="70" t="str">
        <f>IFERROR(+G85/G89,"")</f>
        <v/>
      </c>
      <c r="H92" s="71" t="str">
        <f t="shared" ref="H92:Q92" si="15">IFERROR(+H85/H89,"")</f>
        <v/>
      </c>
      <c r="I92" s="71" t="str">
        <f t="shared" si="15"/>
        <v/>
      </c>
      <c r="J92" s="71" t="str">
        <f t="shared" si="15"/>
        <v/>
      </c>
      <c r="K92" s="71" t="str">
        <f t="shared" si="15"/>
        <v/>
      </c>
      <c r="L92" s="71" t="str">
        <f t="shared" si="15"/>
        <v/>
      </c>
      <c r="M92" s="71" t="str">
        <f t="shared" si="15"/>
        <v/>
      </c>
      <c r="N92" s="71" t="str">
        <f t="shared" si="15"/>
        <v/>
      </c>
      <c r="O92" s="71" t="str">
        <f t="shared" si="15"/>
        <v/>
      </c>
      <c r="P92" s="71" t="str">
        <f t="shared" si="15"/>
        <v/>
      </c>
      <c r="Q92" s="71" t="str">
        <f t="shared" si="15"/>
        <v/>
      </c>
    </row>
    <row r="93" spans="3:17" ht="29.25" customHeight="1">
      <c r="C93" s="9"/>
      <c r="D93" s="7" t="str">
        <f>MAX($B$15:B93)&amp;"-"&amp;COUNTA($D$78:D92)+1</f>
        <v>6-13</v>
      </c>
      <c r="E93" s="304" t="s">
        <v>217</v>
      </c>
      <c r="F93" s="21" t="s">
        <v>218</v>
      </c>
      <c r="G93" s="348"/>
      <c r="H93" s="48" t="str">
        <f>IFERROR((H92-G92)/G92,"")</f>
        <v/>
      </c>
      <c r="I93" s="49" t="str">
        <f>IFERROR((I92-H92)/H92,"")</f>
        <v/>
      </c>
      <c r="J93" s="48" t="str">
        <f t="shared" ref="J93:Q93" si="16">IFERROR((J92-I92)/I92,"")</f>
        <v/>
      </c>
      <c r="K93" s="48" t="str">
        <f t="shared" si="16"/>
        <v/>
      </c>
      <c r="L93" s="48" t="str">
        <f t="shared" si="16"/>
        <v/>
      </c>
      <c r="M93" s="48" t="str">
        <f t="shared" si="16"/>
        <v/>
      </c>
      <c r="N93" s="48" t="str">
        <f t="shared" si="16"/>
        <v/>
      </c>
      <c r="O93" s="48" t="str">
        <f t="shared" si="16"/>
        <v/>
      </c>
      <c r="P93" s="48" t="str">
        <f t="shared" si="16"/>
        <v/>
      </c>
      <c r="Q93" s="48" t="str">
        <f t="shared" si="16"/>
        <v/>
      </c>
    </row>
    <row r="94" spans="3:17" ht="29.25" customHeight="1">
      <c r="C94" s="9"/>
      <c r="D94" s="7" t="str">
        <f>MAX($B$15:B94)&amp;"-"&amp;COUNTA($D$78:D93)+1</f>
        <v>6-14</v>
      </c>
      <c r="E94" s="304" t="s">
        <v>219</v>
      </c>
      <c r="F94" s="22"/>
      <c r="G94" s="12" t="str">
        <f>IFERROR(+G87/(G88+G89),"")</f>
        <v/>
      </c>
      <c r="H94" s="13" t="str">
        <f t="shared" ref="H94:Q94" si="17">IFERROR(+H87/(H88+H89),"")</f>
        <v/>
      </c>
      <c r="I94" s="16" t="str">
        <f t="shared" si="17"/>
        <v/>
      </c>
      <c r="J94" s="13" t="str">
        <f t="shared" si="17"/>
        <v/>
      </c>
      <c r="K94" s="13" t="str">
        <f>IFERROR(+K87/(K88+K89),"")</f>
        <v/>
      </c>
      <c r="L94" s="13" t="str">
        <f t="shared" si="17"/>
        <v/>
      </c>
      <c r="M94" s="13" t="str">
        <f t="shared" si="17"/>
        <v/>
      </c>
      <c r="N94" s="13" t="str">
        <f t="shared" si="17"/>
        <v/>
      </c>
      <c r="O94" s="13" t="str">
        <f t="shared" si="17"/>
        <v/>
      </c>
      <c r="P94" s="13" t="str">
        <f t="shared" si="17"/>
        <v/>
      </c>
      <c r="Q94" s="13" t="str">
        <f t="shared" si="17"/>
        <v/>
      </c>
    </row>
    <row r="95" spans="3:17" ht="29.25" customHeight="1">
      <c r="D95" s="5" t="str">
        <f>MAX($B$15:B95)&amp;"-"&amp;COUNTA($D$78:D94)+1</f>
        <v>6-15</v>
      </c>
      <c r="E95" s="303" t="s">
        <v>262</v>
      </c>
      <c r="F95" s="19" t="s">
        <v>218</v>
      </c>
      <c r="G95" s="142"/>
      <c r="H95" s="67" t="s">
        <v>263</v>
      </c>
    </row>
    <row r="96" spans="3:17">
      <c r="E96" s="308"/>
      <c r="F96" s="6"/>
    </row>
    <row r="97" spans="2:16">
      <c r="B97" s="53">
        <f>MAX($B$14:B96)+1</f>
        <v>7</v>
      </c>
      <c r="C97" s="45" t="s">
        <v>264</v>
      </c>
      <c r="D97" s="52"/>
      <c r="E97" s="206"/>
      <c r="F97" s="11"/>
      <c r="G97" s="58" t="s">
        <v>265</v>
      </c>
    </row>
    <row r="98" spans="2:16" ht="29.25" customHeight="1">
      <c r="D98" s="5" t="str">
        <f>MAX($B$15:B98)&amp;"-"&amp;COUNTA($D$97:D97)+1</f>
        <v>7-1</v>
      </c>
      <c r="E98" s="293" t="s">
        <v>266</v>
      </c>
      <c r="F98" s="19" t="s">
        <v>241</v>
      </c>
      <c r="G98" s="153"/>
      <c r="I98" s="36"/>
    </row>
    <row r="99" spans="2:16">
      <c r="D99" s="7"/>
      <c r="E99" s="310"/>
      <c r="F99" s="238"/>
      <c r="G99" s="58">
        <v>2</v>
      </c>
      <c r="H99" s="58">
        <v>3</v>
      </c>
      <c r="I99" s="58">
        <v>4</v>
      </c>
      <c r="J99" s="58">
        <v>5</v>
      </c>
      <c r="K99" s="58">
        <v>6</v>
      </c>
      <c r="L99" s="58">
        <v>7</v>
      </c>
      <c r="M99" s="58">
        <v>8</v>
      </c>
      <c r="N99" s="58">
        <v>9</v>
      </c>
      <c r="O99" s="58">
        <v>10</v>
      </c>
      <c r="P99" s="58">
        <v>11</v>
      </c>
    </row>
    <row r="100" spans="2:16" ht="29.25" customHeight="1">
      <c r="D100" s="3" t="str">
        <f>MAX($B$15:B100)&amp;"-"&amp;COUNTA($D$97:D98)+1</f>
        <v>7-2</v>
      </c>
      <c r="E100" s="293" t="s">
        <v>267</v>
      </c>
      <c r="F100" s="19" t="s">
        <v>268</v>
      </c>
      <c r="G100" s="153"/>
      <c r="H100" s="153"/>
      <c r="I100" s="153"/>
      <c r="J100" s="153"/>
      <c r="K100" s="153"/>
      <c r="L100" s="153"/>
      <c r="M100" s="153"/>
      <c r="N100" s="153"/>
      <c r="O100" s="153"/>
      <c r="P100" s="153"/>
    </row>
    <row r="101" spans="2:16">
      <c r="D101" s="7"/>
      <c r="E101" s="310"/>
      <c r="F101" s="238"/>
      <c r="G101" s="58">
        <f>G99+10</f>
        <v>12</v>
      </c>
      <c r="H101" s="58">
        <f t="shared" ref="H101:P107" si="18">H99+10</f>
        <v>13</v>
      </c>
      <c r="I101" s="58">
        <f t="shared" si="18"/>
        <v>14</v>
      </c>
      <c r="J101" s="58">
        <f t="shared" si="18"/>
        <v>15</v>
      </c>
      <c r="K101" s="58">
        <f t="shared" si="18"/>
        <v>16</v>
      </c>
      <c r="L101" s="58">
        <f t="shared" si="18"/>
        <v>17</v>
      </c>
      <c r="M101" s="58">
        <f t="shared" si="18"/>
        <v>18</v>
      </c>
      <c r="N101" s="58">
        <f t="shared" si="18"/>
        <v>19</v>
      </c>
      <c r="O101" s="58">
        <f t="shared" si="18"/>
        <v>20</v>
      </c>
      <c r="P101" s="58">
        <f t="shared" si="18"/>
        <v>21</v>
      </c>
    </row>
    <row r="102" spans="2:16" ht="29.25" customHeight="1">
      <c r="E102" s="293" t="s">
        <v>269</v>
      </c>
      <c r="F102" s="19" t="s">
        <v>268</v>
      </c>
      <c r="G102" s="153"/>
      <c r="H102" s="153"/>
      <c r="I102" s="153"/>
      <c r="J102" s="153"/>
      <c r="K102" s="153"/>
      <c r="L102" s="153"/>
      <c r="M102" s="153"/>
      <c r="N102" s="153"/>
      <c r="O102" s="153"/>
      <c r="P102" s="153"/>
    </row>
    <row r="103" spans="2:16">
      <c r="D103" s="7"/>
      <c r="E103" s="310"/>
      <c r="F103" s="238"/>
      <c r="G103" s="58">
        <f>G101+10</f>
        <v>22</v>
      </c>
      <c r="H103" s="58">
        <f t="shared" si="18"/>
        <v>23</v>
      </c>
      <c r="I103" s="58">
        <f t="shared" si="18"/>
        <v>24</v>
      </c>
      <c r="J103" s="58">
        <f t="shared" si="18"/>
        <v>25</v>
      </c>
      <c r="K103" s="58">
        <f t="shared" si="18"/>
        <v>26</v>
      </c>
      <c r="L103" s="58">
        <f t="shared" si="18"/>
        <v>27</v>
      </c>
      <c r="M103" s="58">
        <f t="shared" si="18"/>
        <v>28</v>
      </c>
      <c r="N103" s="58">
        <f t="shared" si="18"/>
        <v>29</v>
      </c>
      <c r="O103" s="58">
        <f t="shared" si="18"/>
        <v>30</v>
      </c>
      <c r="P103" s="58">
        <f t="shared" si="18"/>
        <v>31</v>
      </c>
    </row>
    <row r="104" spans="2:16" ht="29.25" customHeight="1">
      <c r="E104" s="293" t="s">
        <v>270</v>
      </c>
      <c r="F104" s="19" t="s">
        <v>268</v>
      </c>
      <c r="G104" s="153"/>
      <c r="H104" s="153"/>
      <c r="I104" s="153"/>
      <c r="J104" s="153"/>
      <c r="K104" s="153"/>
      <c r="L104" s="153"/>
      <c r="M104" s="153"/>
      <c r="N104" s="153"/>
      <c r="O104" s="153"/>
      <c r="P104" s="153"/>
    </row>
    <row r="105" spans="2:16">
      <c r="D105" s="7"/>
      <c r="E105" s="310"/>
      <c r="F105" s="238"/>
      <c r="G105" s="58">
        <f>G103+10</f>
        <v>32</v>
      </c>
      <c r="H105" s="58">
        <f t="shared" si="18"/>
        <v>33</v>
      </c>
      <c r="I105" s="58">
        <f t="shared" si="18"/>
        <v>34</v>
      </c>
      <c r="J105" s="58">
        <f t="shared" si="18"/>
        <v>35</v>
      </c>
      <c r="K105" s="58">
        <f t="shared" si="18"/>
        <v>36</v>
      </c>
      <c r="L105" s="58">
        <f t="shared" si="18"/>
        <v>37</v>
      </c>
      <c r="M105" s="58">
        <f t="shared" si="18"/>
        <v>38</v>
      </c>
      <c r="N105" s="58">
        <f t="shared" si="18"/>
        <v>39</v>
      </c>
      <c r="O105" s="58">
        <f t="shared" si="18"/>
        <v>40</v>
      </c>
      <c r="P105" s="58">
        <f t="shared" si="18"/>
        <v>41</v>
      </c>
    </row>
    <row r="106" spans="2:16" ht="29.25" customHeight="1">
      <c r="E106" s="293" t="s">
        <v>271</v>
      </c>
      <c r="F106" s="19" t="s">
        <v>268</v>
      </c>
      <c r="G106" s="153"/>
      <c r="H106" s="153"/>
      <c r="I106" s="153"/>
      <c r="J106" s="153"/>
      <c r="K106" s="153"/>
      <c r="L106" s="153"/>
      <c r="M106" s="153"/>
      <c r="N106" s="153"/>
      <c r="O106" s="153"/>
      <c r="P106" s="153"/>
    </row>
    <row r="107" spans="2:16">
      <c r="D107" s="7"/>
      <c r="E107" s="310"/>
      <c r="F107" s="238"/>
      <c r="G107" s="58">
        <f>G105+10</f>
        <v>42</v>
      </c>
      <c r="H107" s="58">
        <f t="shared" si="18"/>
        <v>43</v>
      </c>
      <c r="I107" s="58">
        <f t="shared" si="18"/>
        <v>44</v>
      </c>
      <c r="J107" s="58">
        <f t="shared" si="18"/>
        <v>45</v>
      </c>
      <c r="K107" s="58">
        <f t="shared" si="18"/>
        <v>46</v>
      </c>
      <c r="L107" s="58">
        <f>L105+10</f>
        <v>47</v>
      </c>
    </row>
    <row r="108" spans="2:16" ht="29.25" customHeight="1">
      <c r="D108" s="52"/>
      <c r="E108" s="293" t="s">
        <v>272</v>
      </c>
      <c r="F108" s="19" t="s">
        <v>268</v>
      </c>
      <c r="G108" s="153"/>
      <c r="H108" s="153"/>
      <c r="I108" s="153"/>
      <c r="J108" s="153"/>
      <c r="K108" s="153"/>
      <c r="L108" s="153"/>
    </row>
    <row r="109" spans="2:16">
      <c r="C109" s="9"/>
      <c r="D109" s="9"/>
      <c r="E109" s="73" t="s">
        <v>273</v>
      </c>
      <c r="F109" s="41"/>
      <c r="G109" s="34"/>
      <c r="H109" s="34"/>
    </row>
    <row r="110" spans="2:16">
      <c r="E110" s="308"/>
      <c r="F110" s="6"/>
    </row>
    <row r="111" spans="2:16" ht="18.5" thickBot="1">
      <c r="B111" s="69"/>
      <c r="C111" s="46" t="s">
        <v>274</v>
      </c>
      <c r="D111" s="4"/>
      <c r="E111" s="308"/>
      <c r="F111" s="6"/>
    </row>
    <row r="112" spans="2:16" ht="29.25" customHeight="1" thickBot="1">
      <c r="D112" s="128">
        <f>COUNTA($D111:D$111)+1</f>
        <v>1</v>
      </c>
      <c r="E112" s="311" t="s">
        <v>275</v>
      </c>
      <c r="F112" s="129"/>
      <c r="G112" s="130" t="str">
        <f>IF($G$98="","",$G$98)</f>
        <v/>
      </c>
      <c r="H112" s="6"/>
      <c r="K112" s="112"/>
      <c r="L112" s="112"/>
    </row>
    <row r="113" spans="3:17" ht="33" customHeight="1">
      <c r="D113" s="52">
        <f>COUNTA($D$111:D112)+1</f>
        <v>2</v>
      </c>
      <c r="E113" s="312" t="s">
        <v>276</v>
      </c>
      <c r="F113" s="57" t="s">
        <v>241</v>
      </c>
      <c r="G113" s="144"/>
      <c r="H113" s="6"/>
      <c r="K113" s="313"/>
    </row>
    <row r="114" spans="3:17" ht="33" customHeight="1">
      <c r="D114" s="52">
        <f>COUNTA($D$111:D113)+1</f>
        <v>3</v>
      </c>
      <c r="E114" s="312" t="s">
        <v>277</v>
      </c>
      <c r="F114" s="30" t="s">
        <v>241</v>
      </c>
      <c r="G114" s="141"/>
      <c r="H114" s="6"/>
      <c r="K114" s="375" t="s">
        <v>278</v>
      </c>
      <c r="L114" s="375"/>
      <c r="M114" s="375"/>
      <c r="N114" s="375"/>
      <c r="O114" s="196"/>
      <c r="P114" s="195" t="s">
        <v>279</v>
      </c>
      <c r="Q114" s="50" t="s">
        <v>280</v>
      </c>
    </row>
    <row r="115" spans="3:17" ht="33" customHeight="1">
      <c r="D115" s="52">
        <f>COUNTA($D$111:D114)+1</f>
        <v>4</v>
      </c>
      <c r="E115" s="293" t="s">
        <v>281</v>
      </c>
      <c r="F115" s="19" t="s">
        <v>241</v>
      </c>
      <c r="G115" s="141"/>
      <c r="H115" s="6"/>
      <c r="K115" s="375"/>
      <c r="L115" s="375"/>
      <c r="M115" s="375"/>
      <c r="N115" s="375"/>
      <c r="O115" s="125" t="s">
        <v>282</v>
      </c>
      <c r="P115" s="131" t="str">
        <f>IF(AND(COUNTA($G122:$Q122)&gt;0,SUMIF($G122:$Q122,"&lt;&gt;"&amp;"")=0),"－",IFERROR(((HLOOKUP(EDATE($F$13,36),$G119:$Q127,6,FALSE))/(HLOOKUP(EDATE($F$13,0),$G119:$Q127,6,FALSE)))^(1/3)-1,""))</f>
        <v/>
      </c>
      <c r="Q115" s="376">
        <v>4.4999999999999998E-2</v>
      </c>
    </row>
    <row r="116" spans="3:17" ht="36" customHeight="1">
      <c r="D116" s="52">
        <f>COUNTA($D$111:D115)+1</f>
        <v>5</v>
      </c>
      <c r="E116" s="293" t="s">
        <v>283</v>
      </c>
      <c r="F116" s="19" t="s">
        <v>256</v>
      </c>
      <c r="G116" s="350"/>
      <c r="H116" s="6"/>
      <c r="K116" s="375"/>
      <c r="L116" s="375"/>
      <c r="M116" s="375"/>
      <c r="N116" s="375"/>
      <c r="O116" s="125" t="s">
        <v>284</v>
      </c>
      <c r="P116" s="125" t="str">
        <f>IF(AND(COUNTA($G123:$Q123)&gt;0,SUMIF($G123:$Q123,"&lt;&gt;"&amp;"")=0),"－",IFERROR(((HLOOKUP(EDATE($F$13,36),$G119:$Q127,8,FALSE))/(HLOOKUP(EDATE($F$13,0),$G119:$Q127,8,FALSE)))^(1/3)-1,""))</f>
        <v/>
      </c>
      <c r="Q116" s="377"/>
    </row>
    <row r="117" spans="3:17">
      <c r="D117" s="1"/>
      <c r="E117" s="309" t="s">
        <v>257</v>
      </c>
      <c r="G117" s="1" t="s">
        <v>179</v>
      </c>
    </row>
    <row r="118" spans="3:17">
      <c r="D118" s="1"/>
      <c r="G118" s="64" t="s">
        <v>181</v>
      </c>
      <c r="H118" s="64" t="s">
        <v>182</v>
      </c>
      <c r="I118" s="64" t="s">
        <v>183</v>
      </c>
      <c r="J118" s="132" t="s">
        <v>184</v>
      </c>
      <c r="K118" s="132"/>
      <c r="L118" s="132"/>
      <c r="M118" s="132"/>
      <c r="N118" s="132"/>
      <c r="O118" s="132"/>
      <c r="P118" s="132"/>
      <c r="Q118" s="132"/>
    </row>
    <row r="119" spans="3:17">
      <c r="D119" s="11"/>
      <c r="E119" s="206"/>
      <c r="F119" s="56"/>
      <c r="G119" s="63" t="str">
        <f>IF($I119="","",EDATE(H119,-12))</f>
        <v/>
      </c>
      <c r="H119" s="63" t="str">
        <f>IF($I119="","",EDATE(I119,-12))</f>
        <v/>
      </c>
      <c r="I119" s="63" t="str">
        <f>IF($I$12="","",$I$12)</f>
        <v/>
      </c>
      <c r="J119" s="63" t="str">
        <f t="shared" ref="J119:Q119" si="19">IF($I119="","",EDATE(I119,12))</f>
        <v/>
      </c>
      <c r="K119" s="63" t="str">
        <f t="shared" si="19"/>
        <v/>
      </c>
      <c r="L119" s="63" t="str">
        <f t="shared" si="19"/>
        <v/>
      </c>
      <c r="M119" s="63" t="str">
        <f t="shared" si="19"/>
        <v/>
      </c>
      <c r="N119" s="63" t="str">
        <f t="shared" si="19"/>
        <v/>
      </c>
      <c r="O119" s="63" t="str">
        <f t="shared" si="19"/>
        <v/>
      </c>
      <c r="P119" s="63" t="str">
        <f t="shared" si="19"/>
        <v/>
      </c>
      <c r="Q119" s="63" t="str">
        <f t="shared" si="19"/>
        <v/>
      </c>
    </row>
    <row r="120" spans="3:17" ht="29.25" customHeight="1">
      <c r="D120" s="5">
        <f>COUNTA($D$111:D119)+1</f>
        <v>6</v>
      </c>
      <c r="E120" s="303" t="s">
        <v>206</v>
      </c>
      <c r="F120" s="19"/>
      <c r="G120" s="138"/>
      <c r="H120" s="138"/>
      <c r="I120" s="138"/>
      <c r="J120" s="138"/>
      <c r="K120" s="138"/>
      <c r="L120" s="138"/>
      <c r="M120" s="138"/>
      <c r="N120" s="138"/>
      <c r="O120" s="138"/>
      <c r="P120" s="106"/>
      <c r="Q120" s="106"/>
    </row>
    <row r="121" spans="3:17" ht="29.25" customHeight="1">
      <c r="C121" s="9"/>
      <c r="D121" s="5">
        <f>COUNTA($D$111:D120)+1</f>
        <v>7</v>
      </c>
      <c r="E121" s="303" t="s">
        <v>207</v>
      </c>
      <c r="F121" s="19"/>
      <c r="G121" s="138"/>
      <c r="H121" s="138"/>
      <c r="I121" s="138"/>
      <c r="J121" s="138"/>
      <c r="K121" s="138"/>
      <c r="L121" s="138"/>
      <c r="M121" s="138"/>
      <c r="N121" s="138"/>
      <c r="O121" s="106"/>
      <c r="P121" s="106"/>
      <c r="Q121" s="106"/>
    </row>
    <row r="122" spans="3:17" ht="29.25" customHeight="1">
      <c r="C122" s="9"/>
      <c r="D122" s="5">
        <f>COUNTA($D$111:D121)+1</f>
        <v>8</v>
      </c>
      <c r="E122" s="303" t="s">
        <v>210</v>
      </c>
      <c r="F122" s="20" t="s">
        <v>211</v>
      </c>
      <c r="G122" s="306"/>
      <c r="H122" s="306"/>
      <c r="I122" s="306"/>
      <c r="J122" s="306"/>
      <c r="K122" s="306"/>
      <c r="L122" s="306"/>
      <c r="M122" s="306"/>
      <c r="N122" s="306"/>
      <c r="O122" s="306"/>
      <c r="P122" s="229"/>
      <c r="Q122" s="229"/>
    </row>
    <row r="123" spans="3:17" ht="29.25" customHeight="1">
      <c r="C123" s="9"/>
      <c r="D123" s="5">
        <f>COUNTA($D$111:D122)+1</f>
        <v>9</v>
      </c>
      <c r="E123" s="303" t="s">
        <v>212</v>
      </c>
      <c r="F123" s="19" t="s">
        <v>285</v>
      </c>
      <c r="G123" s="229"/>
      <c r="H123" s="229"/>
      <c r="I123" s="229"/>
      <c r="J123" s="229"/>
      <c r="K123" s="229"/>
      <c r="L123" s="229"/>
      <c r="M123" s="229"/>
      <c r="N123" s="229"/>
      <c r="O123" s="229"/>
      <c r="P123" s="229"/>
      <c r="Q123" s="229"/>
    </row>
    <row r="124" spans="3:17" ht="29.25" customHeight="1">
      <c r="C124" s="9"/>
      <c r="D124" s="7">
        <f>COUNTA($D$111:D123)+1</f>
        <v>10</v>
      </c>
      <c r="E124" s="310" t="s">
        <v>213</v>
      </c>
      <c r="F124" s="22"/>
      <c r="G124" s="12" t="str">
        <f>IFERROR(+G120/G122,"")</f>
        <v/>
      </c>
      <c r="H124" s="13" t="str">
        <f>IFERROR(+H120/H122,"")</f>
        <v/>
      </c>
      <c r="I124" s="16" t="str">
        <f t="shared" ref="I124:Q124" si="20">IFERROR(+I120/I122,"")</f>
        <v/>
      </c>
      <c r="J124" s="13" t="str">
        <f>IFERROR(+J120/J122,"")</f>
        <v/>
      </c>
      <c r="K124" s="13" t="str">
        <f t="shared" si="20"/>
        <v/>
      </c>
      <c r="L124" s="13" t="str">
        <f t="shared" si="20"/>
        <v/>
      </c>
      <c r="M124" s="13" t="str">
        <f t="shared" si="20"/>
        <v/>
      </c>
      <c r="N124" s="13" t="str">
        <f t="shared" si="20"/>
        <v/>
      </c>
      <c r="O124" s="13" t="str">
        <f t="shared" si="20"/>
        <v/>
      </c>
      <c r="P124" s="13" t="str">
        <f t="shared" si="20"/>
        <v/>
      </c>
      <c r="Q124" s="13" t="str">
        <f t="shared" si="20"/>
        <v/>
      </c>
    </row>
    <row r="125" spans="3:17" ht="29.25" customHeight="1">
      <c r="C125" s="9"/>
      <c r="D125" s="7">
        <f>COUNTA($D$111:D124)+1</f>
        <v>11</v>
      </c>
      <c r="E125" s="310" t="s">
        <v>214</v>
      </c>
      <c r="F125" s="22" t="s">
        <v>215</v>
      </c>
      <c r="G125" s="347"/>
      <c r="H125" s="48" t="str">
        <f t="shared" ref="H125:Q125" si="21">IFERROR((H124-G124)/G124,"")</f>
        <v/>
      </c>
      <c r="I125" s="49" t="str">
        <f t="shared" si="21"/>
        <v/>
      </c>
      <c r="J125" s="48" t="str">
        <f t="shared" si="21"/>
        <v/>
      </c>
      <c r="K125" s="48" t="str">
        <f>IFERROR((K124-J124)/J124,"")</f>
        <v/>
      </c>
      <c r="L125" s="48" t="str">
        <f>IFERROR((L124-K124)/K124,"")</f>
        <v/>
      </c>
      <c r="M125" s="48" t="str">
        <f t="shared" si="21"/>
        <v/>
      </c>
      <c r="N125" s="48" t="str">
        <f t="shared" si="21"/>
        <v/>
      </c>
      <c r="O125" s="48" t="str">
        <f t="shared" si="21"/>
        <v/>
      </c>
      <c r="P125" s="48" t="str">
        <f t="shared" si="21"/>
        <v/>
      </c>
      <c r="Q125" s="48" t="str">
        <f t="shared" si="21"/>
        <v/>
      </c>
    </row>
    <row r="126" spans="3:17" ht="29.25" customHeight="1">
      <c r="C126" s="9"/>
      <c r="D126" s="7">
        <f>COUNTA($D$111:D125)+1</f>
        <v>12</v>
      </c>
      <c r="E126" s="310" t="s">
        <v>216</v>
      </c>
      <c r="F126" s="21"/>
      <c r="G126" s="70" t="str">
        <f t="shared" ref="G126:Q126" si="22">IFERROR(+G121/G123,"")</f>
        <v/>
      </c>
      <c r="H126" s="71" t="str">
        <f t="shared" si="22"/>
        <v/>
      </c>
      <c r="I126" s="71" t="str">
        <f t="shared" si="22"/>
        <v/>
      </c>
      <c r="J126" s="71" t="str">
        <f>IFERROR(+J121/J123,"")</f>
        <v/>
      </c>
      <c r="K126" s="71" t="str">
        <f t="shared" si="22"/>
        <v/>
      </c>
      <c r="L126" s="71" t="str">
        <f t="shared" si="22"/>
        <v/>
      </c>
      <c r="M126" s="71" t="str">
        <f t="shared" si="22"/>
        <v/>
      </c>
      <c r="N126" s="71" t="str">
        <f t="shared" si="22"/>
        <v/>
      </c>
      <c r="O126" s="71" t="str">
        <f t="shared" si="22"/>
        <v/>
      </c>
      <c r="P126" s="71" t="str">
        <f t="shared" si="22"/>
        <v/>
      </c>
      <c r="Q126" s="71" t="str">
        <f t="shared" si="22"/>
        <v/>
      </c>
    </row>
    <row r="127" spans="3:17" ht="29.25" customHeight="1">
      <c r="D127" s="7">
        <f>COUNTA($D$111:D126)+1</f>
        <v>13</v>
      </c>
      <c r="E127" s="310" t="s">
        <v>217</v>
      </c>
      <c r="F127" s="21" t="s">
        <v>218</v>
      </c>
      <c r="G127" s="348"/>
      <c r="H127" s="48" t="str">
        <f t="shared" ref="H127:Q127" si="23">IFERROR((H126-G126)/G126,"")</f>
        <v/>
      </c>
      <c r="I127" s="49" t="str">
        <f t="shared" si="23"/>
        <v/>
      </c>
      <c r="J127" s="48" t="str">
        <f t="shared" si="23"/>
        <v/>
      </c>
      <c r="K127" s="48" t="str">
        <f t="shared" si="23"/>
        <v/>
      </c>
      <c r="L127" s="48" t="str">
        <f t="shared" si="23"/>
        <v/>
      </c>
      <c r="M127" s="48" t="str">
        <f t="shared" si="23"/>
        <v/>
      </c>
      <c r="N127" s="48" t="str">
        <f t="shared" si="23"/>
        <v/>
      </c>
      <c r="O127" s="48" t="str">
        <f t="shared" si="23"/>
        <v/>
      </c>
      <c r="P127" s="48" t="str">
        <f t="shared" si="23"/>
        <v/>
      </c>
      <c r="Q127" s="48" t="str">
        <f t="shared" si="23"/>
        <v/>
      </c>
    </row>
    <row r="128" spans="3:17">
      <c r="E128" s="314"/>
    </row>
    <row r="129" spans="2:17" ht="18.5" thickBot="1">
      <c r="B129" s="69"/>
      <c r="C129" s="46" t="s">
        <v>286</v>
      </c>
      <c r="D129" s="4"/>
      <c r="E129" s="308"/>
      <c r="F129" s="6"/>
      <c r="M129" s="124"/>
    </row>
    <row r="130" spans="2:17" ht="18.5" thickBot="1">
      <c r="D130" s="128">
        <f>COUNTA($D$129:D129)+1</f>
        <v>1</v>
      </c>
      <c r="E130" s="311" t="s">
        <v>275</v>
      </c>
      <c r="F130" s="129"/>
      <c r="G130" s="130" t="str">
        <f>IF($G$100="","",$G$100)</f>
        <v/>
      </c>
    </row>
    <row r="131" spans="2:17">
      <c r="D131" s="52">
        <f>COUNTA($D$129:D130)+1</f>
        <v>2</v>
      </c>
      <c r="E131" s="312" t="s">
        <v>276</v>
      </c>
      <c r="F131" s="57" t="s">
        <v>241</v>
      </c>
      <c r="G131" s="144"/>
      <c r="H131" s="6"/>
    </row>
    <row r="132" spans="2:17" ht="49.75" customHeight="1">
      <c r="D132" s="52">
        <f>COUNTA($D$129:D131)+1</f>
        <v>3</v>
      </c>
      <c r="E132" s="312" t="s">
        <v>277</v>
      </c>
      <c r="F132" s="30" t="s">
        <v>241</v>
      </c>
      <c r="G132" s="141"/>
      <c r="H132" s="6"/>
      <c r="K132" s="375" t="s">
        <v>278</v>
      </c>
      <c r="L132" s="375"/>
      <c r="M132" s="375"/>
      <c r="N132" s="375"/>
      <c r="O132" s="196"/>
      <c r="P132" s="195" t="s">
        <v>279</v>
      </c>
      <c r="Q132" s="50" t="s">
        <v>280</v>
      </c>
    </row>
    <row r="133" spans="2:17">
      <c r="D133" s="52">
        <f>COUNTA($D$129:D132)+1</f>
        <v>4</v>
      </c>
      <c r="E133" s="293" t="s">
        <v>281</v>
      </c>
      <c r="F133" s="19" t="s">
        <v>241</v>
      </c>
      <c r="G133" s="141"/>
      <c r="H133" s="6"/>
      <c r="K133" s="375"/>
      <c r="L133" s="375"/>
      <c r="M133" s="375"/>
      <c r="N133" s="375"/>
      <c r="O133" s="125" t="s">
        <v>282</v>
      </c>
      <c r="P133" s="131" t="str">
        <f>IF(AND(COUNTA($G140:$Q140)&gt;0,SUMIF($G140:$Q140,"&lt;&gt;"&amp;"")=0),"－",IFERROR(((HLOOKUP(EDATE($F$13,36),$G137:$Q145,6,FALSE))/(HLOOKUP(EDATE($F$13,0),$G137:$Q145,6,FALSE)))^(1/3)-1,""))</f>
        <v/>
      </c>
      <c r="Q133" s="376">
        <v>4.4999999999999998E-2</v>
      </c>
    </row>
    <row r="134" spans="2:17" ht="36">
      <c r="D134" s="52">
        <f>COUNTA($D$129:D133)+1</f>
        <v>5</v>
      </c>
      <c r="E134" s="293" t="s">
        <v>283</v>
      </c>
      <c r="F134" s="19" t="s">
        <v>256</v>
      </c>
      <c r="G134" s="315"/>
      <c r="H134" s="6"/>
      <c r="K134" s="375"/>
      <c r="L134" s="375"/>
      <c r="M134" s="375"/>
      <c r="N134" s="375"/>
      <c r="O134" s="125" t="s">
        <v>284</v>
      </c>
      <c r="P134" s="125" t="str">
        <f>IF(AND(COUNTA($G141:$Q141)&gt;0,SUMIF($G141:$Q141,"&lt;&gt;"&amp;"")=0),"－",IFERROR(((HLOOKUP(EDATE($F$13,36),$G137:$Q145,8,FALSE))/(HLOOKUP(EDATE($F$13,0),$G137:$Q145,8,FALSE)))^(1/3)-1,""))</f>
        <v/>
      </c>
      <c r="Q134" s="377"/>
    </row>
    <row r="135" spans="2:17">
      <c r="D135" s="35"/>
      <c r="E135" s="316" t="s">
        <v>257</v>
      </c>
      <c r="F135" s="34"/>
      <c r="G135" s="1" t="s">
        <v>179</v>
      </c>
    </row>
    <row r="136" spans="2:17">
      <c r="E136" s="308"/>
      <c r="G136" s="64" t="s">
        <v>181</v>
      </c>
      <c r="H136" s="64" t="s">
        <v>182</v>
      </c>
      <c r="I136" s="64" t="s">
        <v>183</v>
      </c>
      <c r="J136" s="132" t="s">
        <v>184</v>
      </c>
      <c r="K136" s="132"/>
      <c r="L136" s="132"/>
      <c r="M136" s="132"/>
      <c r="N136" s="132"/>
      <c r="O136" s="132"/>
      <c r="P136" s="132"/>
      <c r="Q136" s="132"/>
    </row>
    <row r="137" spans="2:17">
      <c r="D137" s="11"/>
      <c r="E137" s="317"/>
      <c r="F137" s="56"/>
      <c r="G137" s="63" t="str">
        <f>IF($I137="","",EDATE(H137,-12))</f>
        <v/>
      </c>
      <c r="H137" s="63" t="str">
        <f>IF($I137="","",EDATE(I137,-12))</f>
        <v/>
      </c>
      <c r="I137" s="63" t="str">
        <f>IF($I$12="","",$I$12)</f>
        <v/>
      </c>
      <c r="J137" s="63" t="str">
        <f t="shared" ref="J137:Q137" si="24">IF($I137="","",EDATE(I137,12))</f>
        <v/>
      </c>
      <c r="K137" s="63" t="str">
        <f t="shared" si="24"/>
        <v/>
      </c>
      <c r="L137" s="63" t="str">
        <f t="shared" si="24"/>
        <v/>
      </c>
      <c r="M137" s="63" t="str">
        <f t="shared" si="24"/>
        <v/>
      </c>
      <c r="N137" s="63" t="str">
        <f t="shared" si="24"/>
        <v/>
      </c>
      <c r="O137" s="63" t="str">
        <f t="shared" si="24"/>
        <v/>
      </c>
      <c r="P137" s="63" t="str">
        <f t="shared" si="24"/>
        <v/>
      </c>
      <c r="Q137" s="63" t="str">
        <f t="shared" si="24"/>
        <v/>
      </c>
    </row>
    <row r="138" spans="2:17">
      <c r="D138" s="5">
        <f>COUNTA($D$129:D137)+1</f>
        <v>6</v>
      </c>
      <c r="E138" s="303" t="s">
        <v>206</v>
      </c>
      <c r="F138" s="19"/>
      <c r="G138" s="138"/>
      <c r="H138" s="138"/>
      <c r="I138" s="138"/>
      <c r="J138" s="138"/>
      <c r="K138" s="138"/>
      <c r="L138" s="138"/>
      <c r="M138" s="138"/>
      <c r="N138" s="138"/>
      <c r="O138" s="138"/>
      <c r="P138" s="106"/>
      <c r="Q138" s="106"/>
    </row>
    <row r="139" spans="2:17">
      <c r="C139" s="9"/>
      <c r="D139" s="5">
        <f>COUNTA($D$129:D138)+1</f>
        <v>7</v>
      </c>
      <c r="E139" s="303" t="s">
        <v>207</v>
      </c>
      <c r="F139" s="19"/>
      <c r="G139" s="138"/>
      <c r="H139" s="106"/>
      <c r="I139" s="139"/>
      <c r="J139" s="106"/>
      <c r="K139" s="106"/>
      <c r="L139" s="154"/>
      <c r="M139" s="106"/>
      <c r="N139" s="106"/>
      <c r="O139" s="106"/>
      <c r="P139" s="106"/>
      <c r="Q139" s="106"/>
    </row>
    <row r="140" spans="2:17">
      <c r="C140" s="9"/>
      <c r="D140" s="5">
        <f>COUNTA($D$129:D139)+1</f>
        <v>8</v>
      </c>
      <c r="E140" s="303" t="s">
        <v>210</v>
      </c>
      <c r="F140" s="20" t="s">
        <v>211</v>
      </c>
      <c r="G140" s="306"/>
      <c r="H140" s="306"/>
      <c r="I140" s="306"/>
      <c r="J140" s="306"/>
      <c r="K140" s="306"/>
      <c r="L140" s="306"/>
      <c r="M140" s="306"/>
      <c r="N140" s="306"/>
      <c r="O140" s="306"/>
      <c r="P140" s="229"/>
      <c r="Q140" s="229"/>
    </row>
    <row r="141" spans="2:17">
      <c r="C141" s="9"/>
      <c r="D141" s="5">
        <f>COUNTA($D$129:D140)+1</f>
        <v>9</v>
      </c>
      <c r="E141" s="303" t="s">
        <v>212</v>
      </c>
      <c r="F141" s="19" t="s">
        <v>287</v>
      </c>
      <c r="G141" s="306"/>
      <c r="H141" s="229"/>
      <c r="I141" s="307"/>
      <c r="J141" s="229"/>
      <c r="K141" s="229"/>
      <c r="L141" s="229"/>
      <c r="M141" s="229"/>
      <c r="N141" s="229"/>
      <c r="O141" s="229"/>
      <c r="P141" s="229"/>
      <c r="Q141" s="229"/>
    </row>
    <row r="142" spans="2:17">
      <c r="C142" s="9"/>
      <c r="D142" s="7">
        <f>COUNTA($D$129:D141)+1</f>
        <v>10</v>
      </c>
      <c r="E142" s="310" t="s">
        <v>213</v>
      </c>
      <c r="F142" s="22"/>
      <c r="G142" s="12" t="str">
        <f>IFERROR(+G138/G140,"")</f>
        <v/>
      </c>
      <c r="H142" s="13" t="str">
        <f>IFERROR(+H138/H140,"")</f>
        <v/>
      </c>
      <c r="I142" s="16" t="str">
        <f t="shared" ref="I142:Q142" si="25">IFERROR(+I138/I140,"")</f>
        <v/>
      </c>
      <c r="J142" s="13" t="str">
        <f t="shared" si="25"/>
        <v/>
      </c>
      <c r="K142" s="13" t="str">
        <f t="shared" si="25"/>
        <v/>
      </c>
      <c r="L142" s="13" t="str">
        <f t="shared" si="25"/>
        <v/>
      </c>
      <c r="M142" s="13" t="str">
        <f t="shared" si="25"/>
        <v/>
      </c>
      <c r="N142" s="13" t="str">
        <f t="shared" si="25"/>
        <v/>
      </c>
      <c r="O142" s="13" t="str">
        <f t="shared" si="25"/>
        <v/>
      </c>
      <c r="P142" s="13" t="str">
        <f t="shared" si="25"/>
        <v/>
      </c>
      <c r="Q142" s="13" t="str">
        <f t="shared" si="25"/>
        <v/>
      </c>
    </row>
    <row r="143" spans="2:17">
      <c r="C143" s="9"/>
      <c r="D143" s="7">
        <f>COUNTA($D$129:D142)+1</f>
        <v>11</v>
      </c>
      <c r="E143" s="310" t="s">
        <v>214</v>
      </c>
      <c r="F143" s="22" t="s">
        <v>215</v>
      </c>
      <c r="G143" s="347"/>
      <c r="H143" s="48" t="str">
        <f t="shared" ref="H143:Q143" si="26">IFERROR((H142-G142)/G142,"")</f>
        <v/>
      </c>
      <c r="I143" s="49" t="str">
        <f t="shared" si="26"/>
        <v/>
      </c>
      <c r="J143" s="48" t="str">
        <f t="shared" si="26"/>
        <v/>
      </c>
      <c r="K143" s="48" t="str">
        <f>IFERROR((K142-J142)/J142,"")</f>
        <v/>
      </c>
      <c r="L143" s="48" t="str">
        <f t="shared" si="26"/>
        <v/>
      </c>
      <c r="M143" s="48" t="str">
        <f t="shared" si="26"/>
        <v/>
      </c>
      <c r="N143" s="48" t="str">
        <f t="shared" si="26"/>
        <v/>
      </c>
      <c r="O143" s="48" t="str">
        <f t="shared" si="26"/>
        <v/>
      </c>
      <c r="P143" s="48" t="str">
        <f t="shared" si="26"/>
        <v/>
      </c>
      <c r="Q143" s="48" t="str">
        <f t="shared" si="26"/>
        <v/>
      </c>
    </row>
    <row r="144" spans="2:17">
      <c r="C144" s="9"/>
      <c r="D144" s="7">
        <f>COUNTA($D$129:D143)+1</f>
        <v>12</v>
      </c>
      <c r="E144" s="310" t="s">
        <v>216</v>
      </c>
      <c r="F144" s="21"/>
      <c r="G144" s="70" t="str">
        <f t="shared" ref="G144:Q144" si="27">IFERROR(+G139/G141,"")</f>
        <v/>
      </c>
      <c r="H144" s="71" t="str">
        <f t="shared" si="27"/>
        <v/>
      </c>
      <c r="I144" s="71" t="str">
        <f t="shared" si="27"/>
        <v/>
      </c>
      <c r="J144" s="71" t="str">
        <f t="shared" si="27"/>
        <v/>
      </c>
      <c r="K144" s="71" t="str">
        <f t="shared" si="27"/>
        <v/>
      </c>
      <c r="L144" s="71" t="str">
        <f t="shared" si="27"/>
        <v/>
      </c>
      <c r="M144" s="71" t="str">
        <f t="shared" si="27"/>
        <v/>
      </c>
      <c r="N144" s="71" t="str">
        <f t="shared" si="27"/>
        <v/>
      </c>
      <c r="O144" s="71" t="str">
        <f t="shared" si="27"/>
        <v/>
      </c>
      <c r="P144" s="71" t="str">
        <f t="shared" si="27"/>
        <v/>
      </c>
      <c r="Q144" s="71" t="str">
        <f t="shared" si="27"/>
        <v/>
      </c>
    </row>
    <row r="145" spans="2:17">
      <c r="D145" s="7">
        <f>COUNTA($D$129:D144)+1</f>
        <v>13</v>
      </c>
      <c r="E145" s="310" t="s">
        <v>217</v>
      </c>
      <c r="F145" s="21" t="s">
        <v>218</v>
      </c>
      <c r="G145" s="347"/>
      <c r="H145" s="48" t="str">
        <f>IFERROR((H144-G144)/G144,"")</f>
        <v/>
      </c>
      <c r="I145" s="49" t="str">
        <f>IFERROR((I144-H144)/H144,"")</f>
        <v/>
      </c>
      <c r="J145" s="48" t="str">
        <f t="shared" ref="J145:Q145" si="28">IFERROR((J144-I144)/I144,"")</f>
        <v/>
      </c>
      <c r="K145" s="48" t="str">
        <f>IFERROR((K144-J144)/J144,"")</f>
        <v/>
      </c>
      <c r="L145" s="48" t="str">
        <f t="shared" si="28"/>
        <v/>
      </c>
      <c r="M145" s="48" t="str">
        <f t="shared" si="28"/>
        <v/>
      </c>
      <c r="N145" s="48" t="str">
        <f t="shared" si="28"/>
        <v/>
      </c>
      <c r="O145" s="48" t="str">
        <f t="shared" si="28"/>
        <v/>
      </c>
      <c r="P145" s="48" t="str">
        <f t="shared" si="28"/>
        <v/>
      </c>
      <c r="Q145" s="48" t="str">
        <f t="shared" si="28"/>
        <v/>
      </c>
    </row>
    <row r="146" spans="2:17">
      <c r="E146" s="314"/>
    </row>
    <row r="147" spans="2:17" ht="18.5" thickBot="1">
      <c r="B147" s="69"/>
      <c r="C147" s="46" t="s">
        <v>288</v>
      </c>
      <c r="D147" s="4"/>
      <c r="E147" s="308"/>
      <c r="F147" s="6"/>
    </row>
    <row r="148" spans="2:17" ht="50.15" customHeight="1" thickBot="1">
      <c r="D148" s="128">
        <f>COUNTA($D$147:D147)+1</f>
        <v>1</v>
      </c>
      <c r="E148" s="311" t="s">
        <v>275</v>
      </c>
      <c r="F148" s="129"/>
      <c r="G148" s="130" t="str">
        <f>IF($H$100="","",$H$100)</f>
        <v/>
      </c>
    </row>
    <row r="149" spans="2:17">
      <c r="D149" s="351">
        <f>COUNTA($D$147:D148)+1</f>
        <v>2</v>
      </c>
      <c r="E149" s="352" t="s">
        <v>276</v>
      </c>
      <c r="F149" s="239" t="s">
        <v>241</v>
      </c>
      <c r="G149" s="144"/>
      <c r="H149" s="6"/>
    </row>
    <row r="150" spans="2:17" ht="49.75" customHeight="1">
      <c r="D150" s="52">
        <f>COUNTA($D$147:D149)+1</f>
        <v>3</v>
      </c>
      <c r="E150" s="353" t="s">
        <v>277</v>
      </c>
      <c r="F150" s="239" t="s">
        <v>241</v>
      </c>
      <c r="G150" s="141"/>
      <c r="H150" s="6"/>
      <c r="K150" s="375" t="s">
        <v>278</v>
      </c>
      <c r="L150" s="375"/>
      <c r="M150" s="375"/>
      <c r="N150" s="375"/>
      <c r="O150" s="196"/>
      <c r="P150" s="195" t="s">
        <v>279</v>
      </c>
      <c r="Q150" s="50" t="s">
        <v>280</v>
      </c>
    </row>
    <row r="151" spans="2:17">
      <c r="D151" s="52">
        <f>COUNTA($D$147:D150)+1</f>
        <v>4</v>
      </c>
      <c r="E151" s="353" t="s">
        <v>281</v>
      </c>
      <c r="F151" s="239" t="s">
        <v>241</v>
      </c>
      <c r="G151" s="141"/>
      <c r="H151" s="6"/>
      <c r="K151" s="375"/>
      <c r="L151" s="375"/>
      <c r="M151" s="375"/>
      <c r="N151" s="375"/>
      <c r="O151" s="125" t="s">
        <v>282</v>
      </c>
      <c r="P151" s="131" t="str">
        <f>IF(AND(COUNTA($G158:$Q158)&gt;0,SUMIF($G158:$Q158,"&lt;&gt;"&amp;"")=0),"－",IFERROR(((HLOOKUP(EDATE($F$13,36),$G155:$Q163,6,FALSE))/(HLOOKUP(EDATE($F$13,0),$G155:$Q163,6,FALSE)))^(1/3)-1,""))</f>
        <v/>
      </c>
      <c r="Q151" s="376">
        <v>4.4999999999999998E-2</v>
      </c>
    </row>
    <row r="152" spans="2:17" ht="36">
      <c r="D152" s="52">
        <f>COUNTA($D$147:D151)+1</f>
        <v>5</v>
      </c>
      <c r="E152" s="353" t="s">
        <v>283</v>
      </c>
      <c r="F152" s="239" t="s">
        <v>256</v>
      </c>
      <c r="G152" s="315"/>
      <c r="H152" s="6"/>
      <c r="K152" s="375"/>
      <c r="L152" s="375"/>
      <c r="M152" s="375"/>
      <c r="N152" s="375"/>
      <c r="O152" s="125" t="s">
        <v>284</v>
      </c>
      <c r="P152" s="125" t="str">
        <f>IF(AND(COUNTA($G159:$Q159)&gt;0,SUMIF($G159:$Q159,"&lt;&gt;"&amp;"")=0),"－",IFERROR(((HLOOKUP(EDATE($F$13,36),$G155:$Q163,8,FALSE))/(HLOOKUP(EDATE($F$13,0),$G155:$Q163,8,FALSE)))^(1/3)-1,""))</f>
        <v/>
      </c>
      <c r="Q152" s="377"/>
    </row>
    <row r="153" spans="2:17">
      <c r="D153" s="1"/>
      <c r="E153" s="309" t="s">
        <v>257</v>
      </c>
      <c r="G153" s="1" t="s">
        <v>179</v>
      </c>
    </row>
    <row r="154" spans="2:17">
      <c r="D154" s="1"/>
      <c r="G154" s="64" t="s">
        <v>181</v>
      </c>
      <c r="H154" s="64" t="s">
        <v>182</v>
      </c>
      <c r="I154" s="64" t="s">
        <v>183</v>
      </c>
      <c r="J154" s="132" t="s">
        <v>184</v>
      </c>
      <c r="K154" s="132"/>
      <c r="L154" s="132"/>
      <c r="M154" s="132"/>
      <c r="N154" s="132"/>
      <c r="O154" s="132"/>
      <c r="P154" s="132"/>
      <c r="Q154" s="132"/>
    </row>
    <row r="155" spans="2:17">
      <c r="D155" s="11"/>
      <c r="E155" s="206"/>
      <c r="F155" s="56"/>
      <c r="G155" s="63" t="str">
        <f>IF($I155="","",EDATE(H155,-12))</f>
        <v/>
      </c>
      <c r="H155" s="63" t="str">
        <f>IF($I155="","",EDATE(I155,-12))</f>
        <v/>
      </c>
      <c r="I155" s="63" t="str">
        <f>IF($I$12="","",$I$12)</f>
        <v/>
      </c>
      <c r="J155" s="63" t="str">
        <f t="shared" ref="J155:Q155" si="29">IF($I155="","",EDATE(I155,12))</f>
        <v/>
      </c>
      <c r="K155" s="63" t="str">
        <f t="shared" si="29"/>
        <v/>
      </c>
      <c r="L155" s="63" t="str">
        <f t="shared" si="29"/>
        <v/>
      </c>
      <c r="M155" s="63" t="str">
        <f t="shared" si="29"/>
        <v/>
      </c>
      <c r="N155" s="63" t="str">
        <f t="shared" si="29"/>
        <v/>
      </c>
      <c r="O155" s="63" t="str">
        <f t="shared" si="29"/>
        <v/>
      </c>
      <c r="P155" s="63" t="str">
        <f t="shared" si="29"/>
        <v/>
      </c>
      <c r="Q155" s="63" t="str">
        <f t="shared" si="29"/>
        <v/>
      </c>
    </row>
    <row r="156" spans="2:17">
      <c r="D156" s="52">
        <f>COUNTA($D$147:D155)+1</f>
        <v>6</v>
      </c>
      <c r="E156" s="293" t="s">
        <v>206</v>
      </c>
      <c r="F156" s="55"/>
      <c r="G156" s="138"/>
      <c r="H156" s="138"/>
      <c r="I156" s="138"/>
      <c r="J156" s="138"/>
      <c r="K156" s="138"/>
      <c r="L156" s="138"/>
      <c r="M156" s="138"/>
      <c r="N156" s="138"/>
      <c r="O156" s="138"/>
      <c r="P156" s="106"/>
      <c r="Q156" s="106"/>
    </row>
    <row r="157" spans="2:17">
      <c r="C157" s="9"/>
      <c r="D157" s="52">
        <f>COUNTA($D$147:D156)+1</f>
        <v>7</v>
      </c>
      <c r="E157" s="293" t="s">
        <v>207</v>
      </c>
      <c r="F157" s="55"/>
      <c r="G157" s="138"/>
      <c r="H157" s="106"/>
      <c r="I157" s="139"/>
      <c r="J157" s="106"/>
      <c r="K157" s="106"/>
      <c r="L157" s="154"/>
      <c r="M157" s="106"/>
      <c r="N157" s="106"/>
      <c r="O157" s="106"/>
      <c r="P157" s="106"/>
      <c r="Q157" s="106"/>
    </row>
    <row r="158" spans="2:17">
      <c r="C158" s="9"/>
      <c r="D158" s="5">
        <f>COUNTA($D$147:D157)+1</f>
        <v>8</v>
      </c>
      <c r="E158" s="303" t="s">
        <v>210</v>
      </c>
      <c r="F158" s="20" t="s">
        <v>211</v>
      </c>
      <c r="G158" s="306"/>
      <c r="H158" s="306"/>
      <c r="I158" s="306"/>
      <c r="J158" s="306"/>
      <c r="K158" s="306"/>
      <c r="L158" s="306"/>
      <c r="M158" s="306"/>
      <c r="N158" s="306"/>
      <c r="O158" s="306"/>
      <c r="P158" s="229"/>
      <c r="Q158" s="229"/>
    </row>
    <row r="159" spans="2:17">
      <c r="C159" s="9"/>
      <c r="D159" s="52">
        <f>COUNTA($D$147:D158)+1</f>
        <v>9</v>
      </c>
      <c r="E159" s="293" t="s">
        <v>212</v>
      </c>
      <c r="F159" s="55" t="s">
        <v>287</v>
      </c>
      <c r="G159" s="306"/>
      <c r="H159" s="229"/>
      <c r="I159" s="307"/>
      <c r="J159" s="229"/>
      <c r="K159" s="229"/>
      <c r="L159" s="229"/>
      <c r="M159" s="229"/>
      <c r="N159" s="229"/>
      <c r="O159" s="229"/>
      <c r="P159" s="229"/>
      <c r="Q159" s="229"/>
    </row>
    <row r="160" spans="2:17">
      <c r="C160" s="9"/>
      <c r="D160" s="7">
        <f>COUNTA($D$147:D159)+1</f>
        <v>10</v>
      </c>
      <c r="E160" s="310" t="s">
        <v>213</v>
      </c>
      <c r="F160" s="22"/>
      <c r="G160" s="12" t="str">
        <f>IFERROR(+G156/G158,"")</f>
        <v/>
      </c>
      <c r="H160" s="13" t="str">
        <f>IFERROR(+H156/H158,"")</f>
        <v/>
      </c>
      <c r="I160" s="16" t="str">
        <f t="shared" ref="I160:Q160" si="30">IFERROR(+I156/I158,"")</f>
        <v/>
      </c>
      <c r="J160" s="13" t="str">
        <f t="shared" si="30"/>
        <v/>
      </c>
      <c r="K160" s="13" t="str">
        <f t="shared" si="30"/>
        <v/>
      </c>
      <c r="L160" s="13" t="str">
        <f t="shared" si="30"/>
        <v/>
      </c>
      <c r="M160" s="13" t="str">
        <f t="shared" si="30"/>
        <v/>
      </c>
      <c r="N160" s="13" t="str">
        <f t="shared" si="30"/>
        <v/>
      </c>
      <c r="O160" s="13" t="str">
        <f t="shared" si="30"/>
        <v/>
      </c>
      <c r="P160" s="13" t="str">
        <f t="shared" si="30"/>
        <v/>
      </c>
      <c r="Q160" s="13" t="str">
        <f t="shared" si="30"/>
        <v/>
      </c>
    </row>
    <row r="161" spans="2:17">
      <c r="C161" s="9"/>
      <c r="D161" s="7">
        <f>COUNTA($D$147:D160)+1</f>
        <v>11</v>
      </c>
      <c r="E161" s="310" t="s">
        <v>214</v>
      </c>
      <c r="F161" s="22" t="s">
        <v>215</v>
      </c>
      <c r="G161" s="347"/>
      <c r="H161" s="48" t="str">
        <f t="shared" ref="H161:Q161" si="31">IFERROR((H160-G160)/G160,"")</f>
        <v/>
      </c>
      <c r="I161" s="49" t="str">
        <f t="shared" si="31"/>
        <v/>
      </c>
      <c r="J161" s="48" t="str">
        <f t="shared" si="31"/>
        <v/>
      </c>
      <c r="K161" s="48" t="str">
        <f>IFERROR((K160-J160)/J160,"")</f>
        <v/>
      </c>
      <c r="L161" s="48" t="str">
        <f t="shared" si="31"/>
        <v/>
      </c>
      <c r="M161" s="48" t="str">
        <f t="shared" si="31"/>
        <v/>
      </c>
      <c r="N161" s="48" t="str">
        <f t="shared" si="31"/>
        <v/>
      </c>
      <c r="O161" s="48" t="str">
        <f t="shared" si="31"/>
        <v/>
      </c>
      <c r="P161" s="48" t="str">
        <f t="shared" si="31"/>
        <v/>
      </c>
      <c r="Q161" s="48" t="str">
        <f t="shared" si="31"/>
        <v/>
      </c>
    </row>
    <row r="162" spans="2:17">
      <c r="C162" s="9"/>
      <c r="D162" s="7">
        <f>COUNTA($D$147:D161)+1</f>
        <v>12</v>
      </c>
      <c r="E162" s="310" t="s">
        <v>216</v>
      </c>
      <c r="F162" s="21"/>
      <c r="G162" s="70" t="str">
        <f t="shared" ref="G162:Q162" si="32">IFERROR(+G157/G159,"")</f>
        <v/>
      </c>
      <c r="H162" s="71" t="str">
        <f t="shared" si="32"/>
        <v/>
      </c>
      <c r="I162" s="71" t="str">
        <f t="shared" si="32"/>
        <v/>
      </c>
      <c r="J162" s="71" t="str">
        <f t="shared" si="32"/>
        <v/>
      </c>
      <c r="K162" s="71" t="str">
        <f t="shared" si="32"/>
        <v/>
      </c>
      <c r="L162" s="71" t="str">
        <f t="shared" si="32"/>
        <v/>
      </c>
      <c r="M162" s="71" t="str">
        <f t="shared" si="32"/>
        <v/>
      </c>
      <c r="N162" s="71" t="str">
        <f t="shared" si="32"/>
        <v/>
      </c>
      <c r="O162" s="71" t="str">
        <f t="shared" si="32"/>
        <v/>
      </c>
      <c r="P162" s="71" t="str">
        <f t="shared" si="32"/>
        <v/>
      </c>
      <c r="Q162" s="71" t="str">
        <f t="shared" si="32"/>
        <v/>
      </c>
    </row>
    <row r="163" spans="2:17">
      <c r="D163" s="7">
        <f>COUNTA($D$147:D162)+1</f>
        <v>13</v>
      </c>
      <c r="E163" s="310" t="s">
        <v>217</v>
      </c>
      <c r="F163" s="21" t="s">
        <v>218</v>
      </c>
      <c r="G163" s="347"/>
      <c r="H163" s="48" t="str">
        <f>IFERROR((H162-G162)/G162,"")</f>
        <v/>
      </c>
      <c r="I163" s="49" t="str">
        <f>IFERROR((I162-H162)/H162,"")</f>
        <v/>
      </c>
      <c r="J163" s="48" t="str">
        <f t="shared" ref="J163:Q163" si="33">IFERROR((J162-I162)/I162,"")</f>
        <v/>
      </c>
      <c r="K163" s="48" t="str">
        <f>IFERROR((K162-J162)/J162,"")</f>
        <v/>
      </c>
      <c r="L163" s="48" t="str">
        <f t="shared" si="33"/>
        <v/>
      </c>
      <c r="M163" s="48" t="str">
        <f t="shared" si="33"/>
        <v/>
      </c>
      <c r="N163" s="48" t="str">
        <f t="shared" si="33"/>
        <v/>
      </c>
      <c r="O163" s="48" t="str">
        <f t="shared" si="33"/>
        <v/>
      </c>
      <c r="P163" s="48" t="str">
        <f t="shared" si="33"/>
        <v/>
      </c>
      <c r="Q163" s="48" t="str">
        <f t="shared" si="33"/>
        <v/>
      </c>
    </row>
    <row r="164" spans="2:17">
      <c r="E164" s="314"/>
    </row>
    <row r="165" spans="2:17" ht="18.5" thickBot="1">
      <c r="B165" s="69"/>
      <c r="C165" s="46" t="s">
        <v>289</v>
      </c>
      <c r="D165" s="4"/>
      <c r="E165" s="308"/>
      <c r="F165" s="6"/>
    </row>
    <row r="166" spans="2:17" ht="50.15" customHeight="1" thickBot="1">
      <c r="D166" s="128">
        <f>COUNTA($D$165:D165)+1</f>
        <v>1</v>
      </c>
      <c r="E166" s="311" t="s">
        <v>275</v>
      </c>
      <c r="F166" s="129"/>
      <c r="G166" s="130" t="str">
        <f>IF($I$100="","",$I$100)</f>
        <v/>
      </c>
    </row>
    <row r="167" spans="2:17">
      <c r="D167" s="52">
        <f>COUNTA($D$165:D166)+1</f>
        <v>2</v>
      </c>
      <c r="E167" s="312" t="s">
        <v>276</v>
      </c>
      <c r="F167" s="57" t="s">
        <v>241</v>
      </c>
      <c r="G167" s="144"/>
    </row>
    <row r="168" spans="2:17" ht="33">
      <c r="D168" s="52">
        <f>COUNTA($D$165:D167)+1</f>
        <v>3</v>
      </c>
      <c r="E168" s="312" t="s">
        <v>277</v>
      </c>
      <c r="F168" s="30" t="s">
        <v>241</v>
      </c>
      <c r="G168" s="141"/>
      <c r="K168" s="375" t="s">
        <v>278</v>
      </c>
      <c r="L168" s="375"/>
      <c r="M168" s="375"/>
      <c r="N168" s="375"/>
      <c r="O168" s="196"/>
      <c r="P168" s="195" t="s">
        <v>279</v>
      </c>
      <c r="Q168" s="50" t="s">
        <v>280</v>
      </c>
    </row>
    <row r="169" spans="2:17">
      <c r="D169" s="52">
        <f>COUNTA($D$165:D168)+1</f>
        <v>4</v>
      </c>
      <c r="E169" s="293" t="s">
        <v>281</v>
      </c>
      <c r="F169" s="19" t="s">
        <v>241</v>
      </c>
      <c r="G169" s="141"/>
      <c r="H169" s="6"/>
      <c r="K169" s="375"/>
      <c r="L169" s="375"/>
      <c r="M169" s="375"/>
      <c r="N169" s="375"/>
      <c r="O169" s="125" t="s">
        <v>282</v>
      </c>
      <c r="P169" s="131" t="str">
        <f>IF(AND(COUNTA($G176:$Q176)&gt;0,SUMIF($G176:$Q176,"&lt;&gt;"&amp;"")=0),"－",IFERROR(((HLOOKUP(EDATE($F$13,36),$G173:$Q181,6,FALSE))/(HLOOKUP(EDATE($F$13,0),$G173:$Q181,6,FALSE)))^(1/3)-1,""))</f>
        <v/>
      </c>
      <c r="Q169" s="376">
        <v>4.4999999999999998E-2</v>
      </c>
    </row>
    <row r="170" spans="2:17" ht="36">
      <c r="D170" s="52">
        <f>COUNTA($D$165:D169)+1</f>
        <v>5</v>
      </c>
      <c r="E170" s="293" t="s">
        <v>283</v>
      </c>
      <c r="F170" s="19" t="s">
        <v>256</v>
      </c>
      <c r="G170" s="315"/>
      <c r="H170" s="6"/>
      <c r="K170" s="375"/>
      <c r="L170" s="375"/>
      <c r="M170" s="375"/>
      <c r="N170" s="375"/>
      <c r="O170" s="125" t="s">
        <v>284</v>
      </c>
      <c r="P170" s="125" t="str">
        <f>IF(AND(COUNTA($G177:$Q177)&gt;0,SUMIF($G177:$Q177,"&lt;&gt;"&amp;"")=0),"－",IFERROR(((HLOOKUP(EDATE($F$13,36),$G173:$Q181,8,FALSE))/(HLOOKUP(EDATE($F$13,0),$G173:$Q181,8,FALSE)))^(1/3)-1,""))</f>
        <v/>
      </c>
      <c r="Q170" s="377"/>
    </row>
    <row r="171" spans="2:17">
      <c r="D171" s="1"/>
      <c r="E171" s="309" t="s">
        <v>257</v>
      </c>
      <c r="G171" s="1" t="s">
        <v>179</v>
      </c>
    </row>
    <row r="172" spans="2:17">
      <c r="D172" s="1"/>
      <c r="G172" s="64" t="s">
        <v>181</v>
      </c>
      <c r="H172" s="64" t="s">
        <v>182</v>
      </c>
      <c r="I172" s="64" t="s">
        <v>183</v>
      </c>
      <c r="J172" s="132" t="s">
        <v>184</v>
      </c>
      <c r="K172" s="132"/>
      <c r="L172" s="132"/>
      <c r="M172" s="132"/>
      <c r="N172" s="132"/>
      <c r="O172" s="132"/>
      <c r="P172" s="132"/>
      <c r="Q172" s="132"/>
    </row>
    <row r="173" spans="2:17">
      <c r="D173" s="11"/>
      <c r="E173" s="206"/>
      <c r="F173" s="56"/>
      <c r="G173" s="63" t="str">
        <f>IF($I173="","",EDATE(H173,-12))</f>
        <v/>
      </c>
      <c r="H173" s="63" t="str">
        <f>IF($I173="","",EDATE(I173,-12))</f>
        <v/>
      </c>
      <c r="I173" s="63" t="str">
        <f>IF($I$12="","",$I$12)</f>
        <v/>
      </c>
      <c r="J173" s="63" t="str">
        <f t="shared" ref="J173:Q173" si="34">IF($I173="","",EDATE(I173,12))</f>
        <v/>
      </c>
      <c r="K173" s="63" t="str">
        <f t="shared" si="34"/>
        <v/>
      </c>
      <c r="L173" s="63" t="str">
        <f t="shared" si="34"/>
        <v/>
      </c>
      <c r="M173" s="63" t="str">
        <f t="shared" si="34"/>
        <v/>
      </c>
      <c r="N173" s="63" t="str">
        <f t="shared" si="34"/>
        <v/>
      </c>
      <c r="O173" s="63" t="str">
        <f t="shared" si="34"/>
        <v/>
      </c>
      <c r="P173" s="63" t="str">
        <f t="shared" si="34"/>
        <v/>
      </c>
      <c r="Q173" s="63" t="str">
        <f t="shared" si="34"/>
        <v/>
      </c>
    </row>
    <row r="174" spans="2:17">
      <c r="D174" s="52">
        <f>COUNTA($D$165:D173)+1</f>
        <v>6</v>
      </c>
      <c r="E174" s="293" t="s">
        <v>206</v>
      </c>
      <c r="F174" s="55"/>
      <c r="G174" s="138"/>
      <c r="H174" s="138"/>
      <c r="I174" s="138"/>
      <c r="J174" s="138"/>
      <c r="K174" s="138"/>
      <c r="L174" s="138"/>
      <c r="M174" s="138"/>
      <c r="N174" s="138"/>
      <c r="O174" s="138"/>
      <c r="P174" s="106"/>
      <c r="Q174" s="106"/>
    </row>
    <row r="175" spans="2:17">
      <c r="C175" s="9"/>
      <c r="D175" s="52">
        <f>COUNTA($D$165:D174)+1</f>
        <v>7</v>
      </c>
      <c r="E175" s="293" t="s">
        <v>207</v>
      </c>
      <c r="F175" s="55"/>
      <c r="G175" s="138"/>
      <c r="H175" s="106"/>
      <c r="I175" s="139"/>
      <c r="J175" s="106"/>
      <c r="K175" s="106"/>
      <c r="L175" s="154"/>
      <c r="M175" s="106"/>
      <c r="N175" s="106"/>
      <c r="O175" s="106"/>
      <c r="P175" s="106"/>
      <c r="Q175" s="106"/>
    </row>
    <row r="176" spans="2:17">
      <c r="C176" s="9"/>
      <c r="D176" s="5">
        <f>COUNTA($D$165:D175)+1</f>
        <v>8</v>
      </c>
      <c r="E176" s="303" t="s">
        <v>210</v>
      </c>
      <c r="F176" s="20" t="s">
        <v>211</v>
      </c>
      <c r="G176" s="306"/>
      <c r="H176" s="306"/>
      <c r="I176" s="306"/>
      <c r="J176" s="306"/>
      <c r="K176" s="306"/>
      <c r="L176" s="306"/>
      <c r="M176" s="306"/>
      <c r="N176" s="306"/>
      <c r="O176" s="306"/>
      <c r="P176" s="229"/>
      <c r="Q176" s="229"/>
    </row>
    <row r="177" spans="2:17">
      <c r="C177" s="9"/>
      <c r="D177" s="52">
        <f>COUNTA($D$165:D176)+1</f>
        <v>9</v>
      </c>
      <c r="E177" s="293" t="s">
        <v>212</v>
      </c>
      <c r="F177" s="55" t="s">
        <v>287</v>
      </c>
      <c r="G177" s="306"/>
      <c r="H177" s="229"/>
      <c r="I177" s="307"/>
      <c r="J177" s="229"/>
      <c r="K177" s="229"/>
      <c r="L177" s="229"/>
      <c r="M177" s="229"/>
      <c r="N177" s="229"/>
      <c r="O177" s="229"/>
      <c r="P177" s="229"/>
      <c r="Q177" s="229"/>
    </row>
    <row r="178" spans="2:17">
      <c r="C178" s="9"/>
      <c r="D178" s="7">
        <f>COUNTA($D$165:D177)+1</f>
        <v>10</v>
      </c>
      <c r="E178" s="310" t="s">
        <v>213</v>
      </c>
      <c r="F178" s="22"/>
      <c r="G178" s="12" t="str">
        <f>IFERROR(+G174/G176,"")</f>
        <v/>
      </c>
      <c r="H178" s="13" t="str">
        <f>IFERROR(+H174/H176,"")</f>
        <v/>
      </c>
      <c r="I178" s="16" t="str">
        <f t="shared" ref="I178:Q178" si="35">IFERROR(+I174/I176,"")</f>
        <v/>
      </c>
      <c r="J178" s="13" t="str">
        <f t="shared" si="35"/>
        <v/>
      </c>
      <c r="K178" s="13" t="str">
        <f t="shared" si="35"/>
        <v/>
      </c>
      <c r="L178" s="13" t="str">
        <f t="shared" si="35"/>
        <v/>
      </c>
      <c r="M178" s="13" t="str">
        <f t="shared" si="35"/>
        <v/>
      </c>
      <c r="N178" s="13" t="str">
        <f t="shared" si="35"/>
        <v/>
      </c>
      <c r="O178" s="13" t="str">
        <f t="shared" si="35"/>
        <v/>
      </c>
      <c r="P178" s="13" t="str">
        <f t="shared" si="35"/>
        <v/>
      </c>
      <c r="Q178" s="13" t="str">
        <f t="shared" si="35"/>
        <v/>
      </c>
    </row>
    <row r="179" spans="2:17">
      <c r="C179" s="9"/>
      <c r="D179" s="7">
        <f>COUNTA($D$165:D178)+1</f>
        <v>11</v>
      </c>
      <c r="E179" s="310" t="s">
        <v>214</v>
      </c>
      <c r="F179" s="22" t="s">
        <v>215</v>
      </c>
      <c r="G179" s="348"/>
      <c r="H179" s="48" t="str">
        <f t="shared" ref="H179:Q179" si="36">IFERROR((H178-G178)/G178,"")</f>
        <v/>
      </c>
      <c r="I179" s="49" t="str">
        <f t="shared" si="36"/>
        <v/>
      </c>
      <c r="J179" s="48" t="str">
        <f t="shared" si="36"/>
        <v/>
      </c>
      <c r="K179" s="48" t="str">
        <f>IFERROR((K178-J178)/J178,"")</f>
        <v/>
      </c>
      <c r="L179" s="48" t="str">
        <f t="shared" si="36"/>
        <v/>
      </c>
      <c r="M179" s="48" t="str">
        <f t="shared" si="36"/>
        <v/>
      </c>
      <c r="N179" s="48" t="str">
        <f t="shared" si="36"/>
        <v/>
      </c>
      <c r="O179" s="48" t="str">
        <f t="shared" si="36"/>
        <v/>
      </c>
      <c r="P179" s="48" t="str">
        <f t="shared" si="36"/>
        <v/>
      </c>
      <c r="Q179" s="48" t="str">
        <f t="shared" si="36"/>
        <v/>
      </c>
    </row>
    <row r="180" spans="2:17">
      <c r="C180" s="9"/>
      <c r="D180" s="7">
        <f>COUNTA($D$165:D179)+1</f>
        <v>12</v>
      </c>
      <c r="E180" s="310" t="s">
        <v>216</v>
      </c>
      <c r="F180" s="21"/>
      <c r="G180" s="70" t="str">
        <f t="shared" ref="G180:Q180" si="37">IFERROR(+G175/G177,"")</f>
        <v/>
      </c>
      <c r="H180" s="71" t="str">
        <f t="shared" si="37"/>
        <v/>
      </c>
      <c r="I180" s="71" t="str">
        <f t="shared" si="37"/>
        <v/>
      </c>
      <c r="J180" s="71" t="str">
        <f t="shared" si="37"/>
        <v/>
      </c>
      <c r="K180" s="71" t="str">
        <f t="shared" si="37"/>
        <v/>
      </c>
      <c r="L180" s="71" t="str">
        <f t="shared" si="37"/>
        <v/>
      </c>
      <c r="M180" s="71" t="str">
        <f t="shared" si="37"/>
        <v/>
      </c>
      <c r="N180" s="71" t="str">
        <f t="shared" si="37"/>
        <v/>
      </c>
      <c r="O180" s="71" t="str">
        <f t="shared" si="37"/>
        <v/>
      </c>
      <c r="P180" s="71" t="str">
        <f t="shared" si="37"/>
        <v/>
      </c>
      <c r="Q180" s="71" t="str">
        <f t="shared" si="37"/>
        <v/>
      </c>
    </row>
    <row r="181" spans="2:17">
      <c r="D181" s="7">
        <f>COUNTA($D$165:D180)+1</f>
        <v>13</v>
      </c>
      <c r="E181" s="310" t="s">
        <v>217</v>
      </c>
      <c r="F181" s="21" t="s">
        <v>218</v>
      </c>
      <c r="G181" s="348"/>
      <c r="H181" s="48" t="str">
        <f>IFERROR((H180-G180)/G180,"")</f>
        <v/>
      </c>
      <c r="I181" s="49" t="str">
        <f>IFERROR((I180-H180)/H180,"")</f>
        <v/>
      </c>
      <c r="J181" s="48" t="str">
        <f t="shared" ref="J181:Q181" si="38">IFERROR((J180-I180)/I180,"")</f>
        <v/>
      </c>
      <c r="K181" s="48" t="str">
        <f>IFERROR((K180-J180)/J180,"")</f>
        <v/>
      </c>
      <c r="L181" s="48" t="str">
        <f t="shared" si="38"/>
        <v/>
      </c>
      <c r="M181" s="48" t="str">
        <f t="shared" si="38"/>
        <v/>
      </c>
      <c r="N181" s="48" t="str">
        <f t="shared" si="38"/>
        <v/>
      </c>
      <c r="O181" s="48" t="str">
        <f t="shared" si="38"/>
        <v/>
      </c>
      <c r="P181" s="48" t="str">
        <f t="shared" si="38"/>
        <v/>
      </c>
      <c r="Q181" s="48" t="str">
        <f t="shared" si="38"/>
        <v/>
      </c>
    </row>
    <row r="182" spans="2:17">
      <c r="E182" s="314"/>
    </row>
    <row r="183" spans="2:17" ht="18.5" thickBot="1">
      <c r="B183" s="69"/>
      <c r="C183" s="46" t="s">
        <v>290</v>
      </c>
      <c r="D183" s="4"/>
      <c r="E183" s="308"/>
      <c r="F183" s="6"/>
    </row>
    <row r="184" spans="2:17" ht="50.15" customHeight="1" thickBot="1">
      <c r="D184" s="128">
        <f>COUNTA($D$183:D183)+1</f>
        <v>1</v>
      </c>
      <c r="E184" s="311" t="s">
        <v>275</v>
      </c>
      <c r="F184" s="129"/>
      <c r="G184" s="130" t="str">
        <f>IF($J$100="","",$J$100)</f>
        <v/>
      </c>
    </row>
    <row r="185" spans="2:17">
      <c r="D185" s="52">
        <f>COUNTA($D$183:D184)+1</f>
        <v>2</v>
      </c>
      <c r="E185" s="312" t="s">
        <v>276</v>
      </c>
      <c r="F185" s="57" t="s">
        <v>241</v>
      </c>
      <c r="G185" s="144"/>
    </row>
    <row r="186" spans="2:17" ht="33">
      <c r="D186" s="52">
        <f>COUNTA($D$183:D185)+1</f>
        <v>3</v>
      </c>
      <c r="E186" s="312" t="s">
        <v>277</v>
      </c>
      <c r="F186" s="30" t="s">
        <v>241</v>
      </c>
      <c r="G186" s="141"/>
      <c r="K186" s="375" t="s">
        <v>278</v>
      </c>
      <c r="L186" s="375"/>
      <c r="M186" s="375"/>
      <c r="N186" s="375"/>
      <c r="O186" s="196"/>
      <c r="P186" s="195" t="s">
        <v>279</v>
      </c>
      <c r="Q186" s="50" t="s">
        <v>280</v>
      </c>
    </row>
    <row r="187" spans="2:17">
      <c r="D187" s="52">
        <f>COUNTA($D$183:D186)+1</f>
        <v>4</v>
      </c>
      <c r="E187" s="293" t="s">
        <v>281</v>
      </c>
      <c r="F187" s="19" t="s">
        <v>241</v>
      </c>
      <c r="G187" s="141"/>
      <c r="H187" s="6"/>
      <c r="K187" s="375"/>
      <c r="L187" s="375"/>
      <c r="M187" s="375"/>
      <c r="N187" s="375"/>
      <c r="O187" s="125" t="s">
        <v>282</v>
      </c>
      <c r="P187" s="131" t="str">
        <f>IF(AND(COUNTA($G194:$Q194)&gt;0,SUMIF($G194:$Q194,"&lt;&gt;"&amp;"")=0),"－",IFERROR(((HLOOKUP(EDATE($F$13,36),$G191:$Q199,6,FALSE))/(HLOOKUP(EDATE($F$13,0),$G191:$Q199,6,FALSE)))^(1/3)-1,""))</f>
        <v/>
      </c>
      <c r="Q187" s="376">
        <v>4.4999999999999998E-2</v>
      </c>
    </row>
    <row r="188" spans="2:17" ht="36">
      <c r="D188" s="52">
        <f>COUNTA($D$183:D187)+1</f>
        <v>5</v>
      </c>
      <c r="E188" s="293" t="s">
        <v>283</v>
      </c>
      <c r="F188" s="19" t="s">
        <v>256</v>
      </c>
      <c r="G188" s="315"/>
      <c r="H188" s="6"/>
      <c r="K188" s="375"/>
      <c r="L188" s="375"/>
      <c r="M188" s="375"/>
      <c r="N188" s="375"/>
      <c r="O188" s="125" t="s">
        <v>284</v>
      </c>
      <c r="P188" s="125" t="str">
        <f>IF(AND(COUNTA($G195:$Q195)&gt;0,SUMIF($G195:$Q195,"&lt;&gt;"&amp;"")=0),"－",IFERROR(((HLOOKUP(EDATE($F$13,36),$G191:$Q199,8,FALSE))/(HLOOKUP(EDATE($F$13,0),$G191:$Q199,8,FALSE)))^(1/3)-1,""))</f>
        <v/>
      </c>
      <c r="Q188" s="377"/>
    </row>
    <row r="189" spans="2:17">
      <c r="D189" s="35"/>
      <c r="E189" s="316" t="s">
        <v>257</v>
      </c>
      <c r="F189" s="34"/>
      <c r="G189" s="1" t="s">
        <v>179</v>
      </c>
    </row>
    <row r="190" spans="2:17">
      <c r="E190" s="308"/>
      <c r="G190" s="64" t="s">
        <v>181</v>
      </c>
      <c r="H190" s="64" t="s">
        <v>182</v>
      </c>
      <c r="I190" s="64" t="s">
        <v>183</v>
      </c>
      <c r="J190" s="132" t="s">
        <v>184</v>
      </c>
      <c r="K190" s="132"/>
      <c r="L190" s="132"/>
      <c r="M190" s="132"/>
      <c r="N190" s="132"/>
      <c r="O190" s="132"/>
      <c r="P190" s="132"/>
      <c r="Q190" s="132"/>
    </row>
    <row r="191" spans="2:17">
      <c r="D191" s="11"/>
      <c r="E191" s="206"/>
      <c r="F191" s="56"/>
      <c r="G191" s="63" t="str">
        <f>IF($I191="","",EDATE(H191,-12))</f>
        <v/>
      </c>
      <c r="H191" s="63" t="str">
        <f>IF($I191="","",EDATE(I191,-12))</f>
        <v/>
      </c>
      <c r="I191" s="63" t="str">
        <f>IF($I$12="","",$I$12)</f>
        <v/>
      </c>
      <c r="J191" s="63" t="str">
        <f t="shared" ref="J191:Q191" si="39">IF($I191="","",EDATE(I191,12))</f>
        <v/>
      </c>
      <c r="K191" s="63" t="str">
        <f t="shared" si="39"/>
        <v/>
      </c>
      <c r="L191" s="63" t="str">
        <f t="shared" si="39"/>
        <v/>
      </c>
      <c r="M191" s="63" t="str">
        <f t="shared" si="39"/>
        <v/>
      </c>
      <c r="N191" s="63" t="str">
        <f t="shared" si="39"/>
        <v/>
      </c>
      <c r="O191" s="63" t="str">
        <f t="shared" si="39"/>
        <v/>
      </c>
      <c r="P191" s="63" t="str">
        <f t="shared" si="39"/>
        <v/>
      </c>
      <c r="Q191" s="63" t="str">
        <f t="shared" si="39"/>
        <v/>
      </c>
    </row>
    <row r="192" spans="2:17">
      <c r="D192" s="52">
        <f>COUNTA($D$183:D191)+1</f>
        <v>6</v>
      </c>
      <c r="E192" s="293" t="s">
        <v>206</v>
      </c>
      <c r="F192" s="55"/>
      <c r="G192" s="138"/>
      <c r="H192" s="138"/>
      <c r="I192" s="138"/>
      <c r="J192" s="138"/>
      <c r="K192" s="138"/>
      <c r="L192" s="138"/>
      <c r="M192" s="138"/>
      <c r="N192" s="138"/>
      <c r="O192" s="138"/>
      <c r="P192" s="106"/>
      <c r="Q192" s="106"/>
    </row>
    <row r="193" spans="2:17">
      <c r="C193" s="9"/>
      <c r="D193" s="52">
        <f>COUNTA($D$183:D192)+1</f>
        <v>7</v>
      </c>
      <c r="E193" s="293" t="s">
        <v>207</v>
      </c>
      <c r="F193" s="55"/>
      <c r="G193" s="138"/>
      <c r="H193" s="106"/>
      <c r="I193" s="139"/>
      <c r="J193" s="106"/>
      <c r="K193" s="106"/>
      <c r="L193" s="154"/>
      <c r="M193" s="106"/>
      <c r="N193" s="106"/>
      <c r="O193" s="106"/>
      <c r="P193" s="106"/>
      <c r="Q193" s="106"/>
    </row>
    <row r="194" spans="2:17">
      <c r="C194" s="9"/>
      <c r="D194" s="5">
        <f>COUNTA($D$183:D193)+1</f>
        <v>8</v>
      </c>
      <c r="E194" s="303" t="s">
        <v>210</v>
      </c>
      <c r="F194" s="20" t="s">
        <v>211</v>
      </c>
      <c r="G194" s="306"/>
      <c r="H194" s="306"/>
      <c r="I194" s="306"/>
      <c r="J194" s="306"/>
      <c r="K194" s="306"/>
      <c r="L194" s="306"/>
      <c r="M194" s="306"/>
      <c r="N194" s="306"/>
      <c r="O194" s="306"/>
      <c r="P194" s="229"/>
      <c r="Q194" s="229"/>
    </row>
    <row r="195" spans="2:17">
      <c r="C195" s="9"/>
      <c r="D195" s="52">
        <f>COUNTA($D$183:D194)+1</f>
        <v>9</v>
      </c>
      <c r="E195" s="293" t="s">
        <v>212</v>
      </c>
      <c r="F195" s="55" t="s">
        <v>287</v>
      </c>
      <c r="G195" s="306"/>
      <c r="H195" s="229"/>
      <c r="I195" s="307"/>
      <c r="J195" s="229"/>
      <c r="K195" s="229"/>
      <c r="L195" s="229"/>
      <c r="M195" s="229"/>
      <c r="N195" s="229"/>
      <c r="O195" s="229"/>
      <c r="P195" s="229"/>
      <c r="Q195" s="229"/>
    </row>
    <row r="196" spans="2:17">
      <c r="C196" s="9"/>
      <c r="D196" s="7">
        <f>COUNTA($D$183:D195)+1</f>
        <v>10</v>
      </c>
      <c r="E196" s="310" t="s">
        <v>213</v>
      </c>
      <c r="F196" s="22"/>
      <c r="G196" s="12" t="str">
        <f>IFERROR(+G192/G194,"")</f>
        <v/>
      </c>
      <c r="H196" s="13" t="str">
        <f>IFERROR(+H192/H194,"")</f>
        <v/>
      </c>
      <c r="I196" s="16" t="str">
        <f t="shared" ref="I196:Q196" si="40">IFERROR(+I192/I194,"")</f>
        <v/>
      </c>
      <c r="J196" s="13" t="str">
        <f t="shared" si="40"/>
        <v/>
      </c>
      <c r="K196" s="13" t="str">
        <f t="shared" si="40"/>
        <v/>
      </c>
      <c r="L196" s="13" t="str">
        <f t="shared" si="40"/>
        <v/>
      </c>
      <c r="M196" s="13" t="str">
        <f t="shared" si="40"/>
        <v/>
      </c>
      <c r="N196" s="13" t="str">
        <f t="shared" si="40"/>
        <v/>
      </c>
      <c r="O196" s="13" t="str">
        <f t="shared" si="40"/>
        <v/>
      </c>
      <c r="P196" s="13" t="str">
        <f t="shared" si="40"/>
        <v/>
      </c>
      <c r="Q196" s="13" t="str">
        <f t="shared" si="40"/>
        <v/>
      </c>
    </row>
    <row r="197" spans="2:17">
      <c r="C197" s="9"/>
      <c r="D197" s="7">
        <f>COUNTA($D$183:D196)+1</f>
        <v>11</v>
      </c>
      <c r="E197" s="310" t="s">
        <v>214</v>
      </c>
      <c r="F197" s="22" t="s">
        <v>215</v>
      </c>
      <c r="G197" s="347"/>
      <c r="H197" s="48" t="str">
        <f t="shared" ref="H197:Q197" si="41">IFERROR((H196-G196)/G196,"")</f>
        <v/>
      </c>
      <c r="I197" s="49" t="str">
        <f t="shared" si="41"/>
        <v/>
      </c>
      <c r="J197" s="48" t="str">
        <f t="shared" si="41"/>
        <v/>
      </c>
      <c r="K197" s="48" t="str">
        <f>IFERROR((K196-J196)/J196,"")</f>
        <v/>
      </c>
      <c r="L197" s="48" t="str">
        <f t="shared" si="41"/>
        <v/>
      </c>
      <c r="M197" s="48" t="str">
        <f t="shared" si="41"/>
        <v/>
      </c>
      <c r="N197" s="48" t="str">
        <f t="shared" si="41"/>
        <v/>
      </c>
      <c r="O197" s="48" t="str">
        <f t="shared" si="41"/>
        <v/>
      </c>
      <c r="P197" s="48" t="str">
        <f t="shared" si="41"/>
        <v/>
      </c>
      <c r="Q197" s="48" t="str">
        <f t="shared" si="41"/>
        <v/>
      </c>
    </row>
    <row r="198" spans="2:17">
      <c r="C198" s="9"/>
      <c r="D198" s="7">
        <f>COUNTA($D$183:D197)+1</f>
        <v>12</v>
      </c>
      <c r="E198" s="310" t="s">
        <v>216</v>
      </c>
      <c r="F198" s="21"/>
      <c r="G198" s="70" t="str">
        <f t="shared" ref="G198:Q198" si="42">IFERROR(+G193/G195,"")</f>
        <v/>
      </c>
      <c r="H198" s="71" t="str">
        <f t="shared" si="42"/>
        <v/>
      </c>
      <c r="I198" s="71" t="str">
        <f t="shared" si="42"/>
        <v/>
      </c>
      <c r="J198" s="71" t="str">
        <f t="shared" si="42"/>
        <v/>
      </c>
      <c r="K198" s="71" t="str">
        <f t="shared" si="42"/>
        <v/>
      </c>
      <c r="L198" s="71" t="str">
        <f t="shared" si="42"/>
        <v/>
      </c>
      <c r="M198" s="71" t="str">
        <f t="shared" si="42"/>
        <v/>
      </c>
      <c r="N198" s="71" t="str">
        <f t="shared" si="42"/>
        <v/>
      </c>
      <c r="O198" s="71" t="str">
        <f t="shared" si="42"/>
        <v/>
      </c>
      <c r="P198" s="71" t="str">
        <f t="shared" si="42"/>
        <v/>
      </c>
      <c r="Q198" s="71" t="str">
        <f t="shared" si="42"/>
        <v/>
      </c>
    </row>
    <row r="199" spans="2:17">
      <c r="D199" s="7">
        <f>COUNTA($D$183:D198)+1</f>
        <v>13</v>
      </c>
      <c r="E199" s="310" t="s">
        <v>217</v>
      </c>
      <c r="F199" s="21" t="s">
        <v>218</v>
      </c>
      <c r="G199" s="347"/>
      <c r="H199" s="48" t="str">
        <f>IFERROR((H198-G198)/G198,"")</f>
        <v/>
      </c>
      <c r="I199" s="49" t="str">
        <f>IFERROR((I198-H198)/H198,"")</f>
        <v/>
      </c>
      <c r="J199" s="48" t="str">
        <f t="shared" ref="J199:Q199" si="43">IFERROR((J198-I198)/I198,"")</f>
        <v/>
      </c>
      <c r="K199" s="48" t="str">
        <f>IFERROR((K198-J198)/J198,"")</f>
        <v/>
      </c>
      <c r="L199" s="48" t="str">
        <f t="shared" si="43"/>
        <v/>
      </c>
      <c r="M199" s="48" t="str">
        <f t="shared" si="43"/>
        <v/>
      </c>
      <c r="N199" s="48" t="str">
        <f t="shared" si="43"/>
        <v/>
      </c>
      <c r="O199" s="48" t="str">
        <f t="shared" si="43"/>
        <v/>
      </c>
      <c r="P199" s="48" t="str">
        <f t="shared" si="43"/>
        <v/>
      </c>
      <c r="Q199" s="48" t="str">
        <f t="shared" si="43"/>
        <v/>
      </c>
    </row>
    <row r="200" spans="2:17">
      <c r="E200" s="314"/>
    </row>
    <row r="201" spans="2:17" ht="18.5" thickBot="1">
      <c r="B201" s="69"/>
      <c r="C201" s="46" t="s">
        <v>291</v>
      </c>
      <c r="D201" s="4"/>
      <c r="E201" s="308"/>
      <c r="F201" s="6"/>
      <c r="L201" s="51"/>
    </row>
    <row r="202" spans="2:17" ht="50.15" customHeight="1" thickBot="1">
      <c r="D202" s="128">
        <f>COUNTA($D$201:D201)+1</f>
        <v>1</v>
      </c>
      <c r="E202" s="311" t="s">
        <v>275</v>
      </c>
      <c r="F202" s="129"/>
      <c r="G202" s="130" t="str">
        <f>IF($K$100="","",$K$100)</f>
        <v/>
      </c>
    </row>
    <row r="203" spans="2:17">
      <c r="D203" s="52">
        <f>COUNTA($D$201:D202)+1</f>
        <v>2</v>
      </c>
      <c r="E203" s="312" t="s">
        <v>292</v>
      </c>
      <c r="F203" s="57" t="s">
        <v>241</v>
      </c>
      <c r="G203" s="144"/>
    </row>
    <row r="204" spans="2:17" ht="33">
      <c r="D204" s="52">
        <f>COUNTA($D$201:D203)+1</f>
        <v>3</v>
      </c>
      <c r="E204" s="312" t="s">
        <v>277</v>
      </c>
      <c r="F204" s="30" t="s">
        <v>241</v>
      </c>
      <c r="G204" s="141"/>
      <c r="K204" s="375" t="s">
        <v>278</v>
      </c>
      <c r="L204" s="375"/>
      <c r="M204" s="375"/>
      <c r="N204" s="375"/>
      <c r="O204" s="196"/>
      <c r="P204" s="195" t="s">
        <v>279</v>
      </c>
      <c r="Q204" s="50" t="s">
        <v>280</v>
      </c>
    </row>
    <row r="205" spans="2:17">
      <c r="D205" s="52">
        <f>COUNTA($D$201:D204)+1</f>
        <v>4</v>
      </c>
      <c r="E205" s="293" t="s">
        <v>281</v>
      </c>
      <c r="F205" s="19" t="s">
        <v>241</v>
      </c>
      <c r="G205" s="141"/>
      <c r="H205" s="6"/>
      <c r="K205" s="375"/>
      <c r="L205" s="375"/>
      <c r="M205" s="375"/>
      <c r="N205" s="375"/>
      <c r="O205" s="125" t="s">
        <v>282</v>
      </c>
      <c r="P205" s="131" t="str">
        <f>IF(AND(COUNTA($G212:$Q212)&gt;0,SUMIF($G212:$Q212,"&lt;&gt;"&amp;"")=0),"－",IFERROR(((HLOOKUP(EDATE($F$13,36),$G209:$Q217,6,FALSE))/(HLOOKUP(EDATE($F$13,0),$G209:$Q217,6,FALSE)))^(1/3)-1,""))</f>
        <v/>
      </c>
      <c r="Q205" s="376">
        <v>4.4999999999999998E-2</v>
      </c>
    </row>
    <row r="206" spans="2:17" ht="36">
      <c r="D206" s="52">
        <f>COUNTA($D$201:D205)+1</f>
        <v>5</v>
      </c>
      <c r="E206" s="293" t="s">
        <v>283</v>
      </c>
      <c r="F206" s="19" t="s">
        <v>256</v>
      </c>
      <c r="G206" s="315"/>
      <c r="H206" s="6"/>
      <c r="K206" s="375"/>
      <c r="L206" s="375"/>
      <c r="M206" s="375"/>
      <c r="N206" s="375"/>
      <c r="O206" s="125" t="s">
        <v>284</v>
      </c>
      <c r="P206" s="125" t="str">
        <f>IF(AND(COUNTA($G213:$Q213)&gt;0,SUMIF($G213:$Q213,"&lt;&gt;"&amp;"")=0),"－",IFERROR(((HLOOKUP(EDATE($F$13,36),$G209:$Q217,8,FALSE))/(HLOOKUP(EDATE($F$13,0),$G209:$Q217,8,FALSE)))^(1/3)-1,""))</f>
        <v/>
      </c>
      <c r="Q206" s="377"/>
    </row>
    <row r="207" spans="2:17">
      <c r="D207" s="35"/>
      <c r="E207" s="316" t="s">
        <v>257</v>
      </c>
      <c r="F207" s="34"/>
      <c r="G207" s="1" t="s">
        <v>179</v>
      </c>
    </row>
    <row r="208" spans="2:17">
      <c r="E208" s="308"/>
      <c r="G208" s="64" t="s">
        <v>181</v>
      </c>
      <c r="H208" s="64" t="s">
        <v>182</v>
      </c>
      <c r="I208" s="64" t="s">
        <v>183</v>
      </c>
      <c r="J208" s="132" t="s">
        <v>184</v>
      </c>
      <c r="K208" s="132"/>
      <c r="L208" s="132"/>
      <c r="M208" s="132"/>
      <c r="N208" s="132"/>
      <c r="O208" s="132"/>
      <c r="P208" s="132"/>
      <c r="Q208" s="132"/>
    </row>
    <row r="209" spans="2:17">
      <c r="D209" s="11"/>
      <c r="E209" s="206"/>
      <c r="F209" s="56"/>
      <c r="G209" s="63" t="str">
        <f>IF($I209="","",EDATE(H209,-12))</f>
        <v/>
      </c>
      <c r="H209" s="63" t="str">
        <f>IF($I209="","",EDATE(I209,-12))</f>
        <v/>
      </c>
      <c r="I209" s="63" t="str">
        <f>IF($I$12="","",$I$12)</f>
        <v/>
      </c>
      <c r="J209" s="63" t="str">
        <f t="shared" ref="J209:Q209" si="44">IF($I209="","",EDATE(I209,12))</f>
        <v/>
      </c>
      <c r="K209" s="63" t="str">
        <f t="shared" si="44"/>
        <v/>
      </c>
      <c r="L209" s="63" t="str">
        <f t="shared" si="44"/>
        <v/>
      </c>
      <c r="M209" s="63" t="str">
        <f t="shared" si="44"/>
        <v/>
      </c>
      <c r="N209" s="63" t="str">
        <f t="shared" si="44"/>
        <v/>
      </c>
      <c r="O209" s="63" t="str">
        <f t="shared" si="44"/>
        <v/>
      </c>
      <c r="P209" s="63" t="str">
        <f t="shared" si="44"/>
        <v/>
      </c>
      <c r="Q209" s="63" t="str">
        <f t="shared" si="44"/>
        <v/>
      </c>
    </row>
    <row r="210" spans="2:17">
      <c r="D210" s="52">
        <f>COUNTA($D$201:D209)+1</f>
        <v>6</v>
      </c>
      <c r="E210" s="293" t="s">
        <v>206</v>
      </c>
      <c r="F210" s="55"/>
      <c r="G210" s="138"/>
      <c r="H210" s="138"/>
      <c r="I210" s="138"/>
      <c r="J210" s="138"/>
      <c r="K210" s="138"/>
      <c r="L210" s="138"/>
      <c r="M210" s="138"/>
      <c r="N210" s="138"/>
      <c r="O210" s="138"/>
      <c r="P210" s="106"/>
      <c r="Q210" s="106"/>
    </row>
    <row r="211" spans="2:17">
      <c r="C211" s="9"/>
      <c r="D211" s="52">
        <f>COUNTA($D$201:D210)+1</f>
        <v>7</v>
      </c>
      <c r="E211" s="293" t="s">
        <v>207</v>
      </c>
      <c r="F211" s="55"/>
      <c r="G211" s="138"/>
      <c r="H211" s="106"/>
      <c r="I211" s="139"/>
      <c r="J211" s="106"/>
      <c r="K211" s="106"/>
      <c r="L211" s="154"/>
      <c r="M211" s="106"/>
      <c r="N211" s="106"/>
      <c r="O211" s="106"/>
      <c r="P211" s="106"/>
      <c r="Q211" s="106"/>
    </row>
    <row r="212" spans="2:17">
      <c r="C212" s="9"/>
      <c r="D212" s="5">
        <f>COUNTA($D$201:D211)+1</f>
        <v>8</v>
      </c>
      <c r="E212" s="303" t="s">
        <v>210</v>
      </c>
      <c r="F212" s="20" t="s">
        <v>211</v>
      </c>
      <c r="G212" s="306"/>
      <c r="H212" s="306"/>
      <c r="I212" s="306"/>
      <c r="J212" s="306"/>
      <c r="K212" s="306"/>
      <c r="L212" s="306"/>
      <c r="M212" s="306"/>
      <c r="N212" s="306"/>
      <c r="O212" s="306"/>
      <c r="P212" s="229"/>
      <c r="Q212" s="229"/>
    </row>
    <row r="213" spans="2:17">
      <c r="C213" s="9"/>
      <c r="D213" s="52">
        <f>COUNTA($D$201:D212)+1</f>
        <v>9</v>
      </c>
      <c r="E213" s="293" t="s">
        <v>212</v>
      </c>
      <c r="F213" s="55" t="s">
        <v>287</v>
      </c>
      <c r="G213" s="306"/>
      <c r="H213" s="229"/>
      <c r="I213" s="307"/>
      <c r="J213" s="229"/>
      <c r="K213" s="229"/>
      <c r="L213" s="229"/>
      <c r="M213" s="229"/>
      <c r="N213" s="229"/>
      <c r="O213" s="229"/>
      <c r="P213" s="229"/>
      <c r="Q213" s="229"/>
    </row>
    <row r="214" spans="2:17">
      <c r="C214" s="9"/>
      <c r="D214" s="7">
        <f>COUNTA($D$201:D213)+1</f>
        <v>10</v>
      </c>
      <c r="E214" s="310" t="s">
        <v>213</v>
      </c>
      <c r="F214" s="22"/>
      <c r="G214" s="12" t="str">
        <f>IFERROR(+G210/G212,"")</f>
        <v/>
      </c>
      <c r="H214" s="13" t="str">
        <f>IFERROR(+H210/H212,"")</f>
        <v/>
      </c>
      <c r="I214" s="16" t="str">
        <f t="shared" ref="I214:Q214" si="45">IFERROR(+I210/I212,"")</f>
        <v/>
      </c>
      <c r="J214" s="13" t="str">
        <f t="shared" si="45"/>
        <v/>
      </c>
      <c r="K214" s="13" t="str">
        <f t="shared" si="45"/>
        <v/>
      </c>
      <c r="L214" s="13" t="str">
        <f t="shared" si="45"/>
        <v/>
      </c>
      <c r="M214" s="13" t="str">
        <f t="shared" si="45"/>
        <v/>
      </c>
      <c r="N214" s="13" t="str">
        <f t="shared" si="45"/>
        <v/>
      </c>
      <c r="O214" s="13" t="str">
        <f t="shared" si="45"/>
        <v/>
      </c>
      <c r="P214" s="13" t="str">
        <f t="shared" si="45"/>
        <v/>
      </c>
      <c r="Q214" s="13" t="str">
        <f t="shared" si="45"/>
        <v/>
      </c>
    </row>
    <row r="215" spans="2:17">
      <c r="C215" s="9"/>
      <c r="D215" s="7">
        <f>COUNTA($D$201:D214)+1</f>
        <v>11</v>
      </c>
      <c r="E215" s="310" t="s">
        <v>214</v>
      </c>
      <c r="F215" s="22" t="s">
        <v>215</v>
      </c>
      <c r="G215" s="347"/>
      <c r="H215" s="48" t="str">
        <f t="shared" ref="H215:Q215" si="46">IFERROR((H214-G214)/G214,"")</f>
        <v/>
      </c>
      <c r="I215" s="49" t="str">
        <f t="shared" si="46"/>
        <v/>
      </c>
      <c r="J215" s="48" t="str">
        <f t="shared" si="46"/>
        <v/>
      </c>
      <c r="K215" s="48" t="str">
        <f>IFERROR((K214-J214)/J214,"")</f>
        <v/>
      </c>
      <c r="L215" s="48" t="str">
        <f t="shared" si="46"/>
        <v/>
      </c>
      <c r="M215" s="48" t="str">
        <f t="shared" si="46"/>
        <v/>
      </c>
      <c r="N215" s="48" t="str">
        <f t="shared" si="46"/>
        <v/>
      </c>
      <c r="O215" s="48" t="str">
        <f t="shared" si="46"/>
        <v/>
      </c>
      <c r="P215" s="48" t="str">
        <f t="shared" si="46"/>
        <v/>
      </c>
      <c r="Q215" s="48" t="str">
        <f t="shared" si="46"/>
        <v/>
      </c>
    </row>
    <row r="216" spans="2:17">
      <c r="C216" s="9"/>
      <c r="D216" s="7">
        <f>COUNTA($D$201:D215)+1</f>
        <v>12</v>
      </c>
      <c r="E216" s="310" t="s">
        <v>216</v>
      </c>
      <c r="F216" s="21"/>
      <c r="G216" s="70" t="str">
        <f t="shared" ref="G216:Q216" si="47">IFERROR(+G211/G213,"")</f>
        <v/>
      </c>
      <c r="H216" s="71" t="str">
        <f t="shared" si="47"/>
        <v/>
      </c>
      <c r="I216" s="71" t="str">
        <f t="shared" si="47"/>
        <v/>
      </c>
      <c r="J216" s="71" t="str">
        <f t="shared" si="47"/>
        <v/>
      </c>
      <c r="K216" s="71" t="str">
        <f t="shared" si="47"/>
        <v/>
      </c>
      <c r="L216" s="71" t="str">
        <f t="shared" si="47"/>
        <v/>
      </c>
      <c r="M216" s="71" t="str">
        <f t="shared" si="47"/>
        <v/>
      </c>
      <c r="N216" s="71" t="str">
        <f t="shared" si="47"/>
        <v/>
      </c>
      <c r="O216" s="71" t="str">
        <f t="shared" si="47"/>
        <v/>
      </c>
      <c r="P216" s="71" t="str">
        <f t="shared" si="47"/>
        <v/>
      </c>
      <c r="Q216" s="71" t="str">
        <f t="shared" si="47"/>
        <v/>
      </c>
    </row>
    <row r="217" spans="2:17">
      <c r="D217" s="7">
        <f>COUNTA($D$201:D216)+1</f>
        <v>13</v>
      </c>
      <c r="E217" s="310" t="s">
        <v>217</v>
      </c>
      <c r="F217" s="21" t="s">
        <v>218</v>
      </c>
      <c r="G217" s="347"/>
      <c r="H217" s="48" t="str">
        <f>IFERROR((H216-G216)/G216,"")</f>
        <v/>
      </c>
      <c r="I217" s="49" t="str">
        <f>IFERROR((I216-H216)/H216,"")</f>
        <v/>
      </c>
      <c r="J217" s="48" t="str">
        <f t="shared" ref="J217:Q217" si="48">IFERROR((J216-I216)/I216,"")</f>
        <v/>
      </c>
      <c r="K217" s="48" t="str">
        <f>IFERROR((K216-J216)/J216,"")</f>
        <v/>
      </c>
      <c r="L217" s="48" t="str">
        <f t="shared" si="48"/>
        <v/>
      </c>
      <c r="M217" s="48" t="str">
        <f t="shared" si="48"/>
        <v/>
      </c>
      <c r="N217" s="48" t="str">
        <f t="shared" si="48"/>
        <v/>
      </c>
      <c r="O217" s="48" t="str">
        <f t="shared" si="48"/>
        <v/>
      </c>
      <c r="P217" s="48" t="str">
        <f t="shared" si="48"/>
        <v/>
      </c>
      <c r="Q217" s="48" t="str">
        <f t="shared" si="48"/>
        <v/>
      </c>
    </row>
    <row r="218" spans="2:17">
      <c r="E218" s="314"/>
    </row>
    <row r="219" spans="2:17" ht="18.5" thickBot="1">
      <c r="B219" s="69"/>
      <c r="C219" s="46" t="s">
        <v>293</v>
      </c>
      <c r="D219" s="4"/>
      <c r="E219" s="308"/>
      <c r="F219" s="240" t="str">
        <f>IF(G220="","","折りたたまれたセルのグループ（非表示行）を展開して、入力項目を入力してください。")</f>
        <v/>
      </c>
      <c r="G219" s="67"/>
      <c r="H219" s="67"/>
      <c r="I219" s="67"/>
      <c r="J219" s="67"/>
      <c r="L219" s="51"/>
    </row>
    <row r="220" spans="2:17" ht="50.15" customHeight="1" thickBot="1">
      <c r="D220" s="128">
        <v>1</v>
      </c>
      <c r="E220" s="311" t="s">
        <v>275</v>
      </c>
      <c r="F220" s="129"/>
      <c r="G220" s="130" t="str">
        <f>IF($L$100="","",$L$100)</f>
        <v/>
      </c>
    </row>
    <row r="221" spans="2:17" hidden="1" outlineLevel="1">
      <c r="D221" s="52">
        <v>2</v>
      </c>
      <c r="E221" s="312" t="s">
        <v>292</v>
      </c>
      <c r="F221" s="57" t="s">
        <v>241</v>
      </c>
      <c r="G221" s="144"/>
    </row>
    <row r="222" spans="2:17" ht="33" hidden="1" outlineLevel="1">
      <c r="D222" s="52">
        <v>3</v>
      </c>
      <c r="E222" s="312" t="s">
        <v>277</v>
      </c>
      <c r="F222" s="30" t="s">
        <v>241</v>
      </c>
      <c r="G222" s="141"/>
      <c r="K222" s="375" t="s">
        <v>278</v>
      </c>
      <c r="L222" s="375"/>
      <c r="M222" s="375"/>
      <c r="N222" s="375"/>
      <c r="O222" s="196"/>
      <c r="P222" s="195" t="s">
        <v>279</v>
      </c>
      <c r="Q222" s="50" t="s">
        <v>280</v>
      </c>
    </row>
    <row r="223" spans="2:17" hidden="1" outlineLevel="1">
      <c r="D223" s="52">
        <v>4</v>
      </c>
      <c r="E223" s="293" t="s">
        <v>281</v>
      </c>
      <c r="F223" s="19" t="s">
        <v>241</v>
      </c>
      <c r="G223" s="141"/>
      <c r="H223" s="6"/>
      <c r="K223" s="375"/>
      <c r="L223" s="375"/>
      <c r="M223" s="375"/>
      <c r="N223" s="375"/>
      <c r="O223" s="125" t="s">
        <v>282</v>
      </c>
      <c r="P223" s="131" t="str">
        <f>IF(AND(COUNTA($G230:$Q230)&gt;0,SUMIF($G230:$Q230,"&lt;&gt;"&amp;"")=0),"－",IFERROR(((HLOOKUP(EDATE($F$13,36),$G227:$Q235,6,FALSE))/(HLOOKUP(EDATE($F$13,0),$G227:$Q235,6,FALSE)))^(1/3)-1,""))</f>
        <v/>
      </c>
      <c r="Q223" s="376">
        <v>4.4999999999999998E-2</v>
      </c>
    </row>
    <row r="224" spans="2:17" ht="36" hidden="1" outlineLevel="1">
      <c r="D224" s="52">
        <v>5</v>
      </c>
      <c r="E224" s="293" t="s">
        <v>283</v>
      </c>
      <c r="F224" s="19" t="s">
        <v>256</v>
      </c>
      <c r="G224" s="315"/>
      <c r="H224" s="6"/>
      <c r="K224" s="375"/>
      <c r="L224" s="375"/>
      <c r="M224" s="375"/>
      <c r="N224" s="375"/>
      <c r="O224" s="125" t="s">
        <v>284</v>
      </c>
      <c r="P224" s="125" t="str">
        <f>IF(AND(COUNTA($G231:$Q231)&gt;0,SUMIF($G231:$Q231,"&lt;&gt;"&amp;"")=0),"－",IFERROR(((HLOOKUP(EDATE($F$13,36),$G227:$Q235,8,FALSE))/(HLOOKUP(EDATE($F$13,0),$G227:$Q235,8,FALSE)))^(1/3)-1,""))</f>
        <v/>
      </c>
      <c r="Q224" s="377"/>
    </row>
    <row r="225" spans="2:17" hidden="1" outlineLevel="1">
      <c r="D225" s="35"/>
      <c r="E225" s="316" t="s">
        <v>257</v>
      </c>
      <c r="F225" s="34"/>
      <c r="G225" s="1" t="s">
        <v>179</v>
      </c>
    </row>
    <row r="226" spans="2:17" hidden="1" outlineLevel="1">
      <c r="E226" s="308"/>
      <c r="G226" s="64" t="s">
        <v>181</v>
      </c>
      <c r="H226" s="64" t="s">
        <v>182</v>
      </c>
      <c r="I226" s="64" t="s">
        <v>183</v>
      </c>
      <c r="J226" s="132" t="s">
        <v>184</v>
      </c>
      <c r="K226" s="132"/>
      <c r="L226" s="132"/>
      <c r="M226" s="132"/>
      <c r="N226" s="132"/>
      <c r="O226" s="132"/>
      <c r="P226" s="132"/>
      <c r="Q226" s="132"/>
    </row>
    <row r="227" spans="2:17" hidden="1" outlineLevel="1">
      <c r="D227" s="11"/>
      <c r="E227" s="206"/>
      <c r="F227" s="56"/>
      <c r="G227" s="63" t="str">
        <f>IF($I227="","",EDATE(H227,-12))</f>
        <v/>
      </c>
      <c r="H227" s="63" t="str">
        <f>IF($I227="","",EDATE(I227,-12))</f>
        <v/>
      </c>
      <c r="I227" s="63" t="str">
        <f>IF($I$12="","",$I$12)</f>
        <v/>
      </c>
      <c r="J227" s="63" t="str">
        <f t="shared" ref="J227:Q227" si="49">IF($I227="","",EDATE(I227,12))</f>
        <v/>
      </c>
      <c r="K227" s="63" t="str">
        <f t="shared" si="49"/>
        <v/>
      </c>
      <c r="L227" s="63" t="str">
        <f t="shared" si="49"/>
        <v/>
      </c>
      <c r="M227" s="63" t="str">
        <f t="shared" si="49"/>
        <v/>
      </c>
      <c r="N227" s="63" t="str">
        <f t="shared" si="49"/>
        <v/>
      </c>
      <c r="O227" s="63" t="str">
        <f t="shared" si="49"/>
        <v/>
      </c>
      <c r="P227" s="63" t="str">
        <f t="shared" si="49"/>
        <v/>
      </c>
      <c r="Q227" s="63" t="str">
        <f t="shared" si="49"/>
        <v/>
      </c>
    </row>
    <row r="228" spans="2:17" hidden="1" outlineLevel="1">
      <c r="D228" s="52">
        <v>6</v>
      </c>
      <c r="E228" s="293" t="s">
        <v>206</v>
      </c>
      <c r="F228" s="55"/>
      <c r="G228" s="138"/>
      <c r="H228" s="138"/>
      <c r="I228" s="138"/>
      <c r="J228" s="138"/>
      <c r="K228" s="138"/>
      <c r="L228" s="138"/>
      <c r="M228" s="138"/>
      <c r="N228" s="138"/>
      <c r="O228" s="138"/>
      <c r="P228" s="106"/>
      <c r="Q228" s="106"/>
    </row>
    <row r="229" spans="2:17" hidden="1" outlineLevel="1">
      <c r="C229" s="9"/>
      <c r="D229" s="52">
        <v>7</v>
      </c>
      <c r="E229" s="293" t="s">
        <v>207</v>
      </c>
      <c r="F229" s="55"/>
      <c r="G229" s="138"/>
      <c r="H229" s="106"/>
      <c r="I229" s="139"/>
      <c r="J229" s="106"/>
      <c r="K229" s="106"/>
      <c r="L229" s="154"/>
      <c r="M229" s="106"/>
      <c r="N229" s="106"/>
      <c r="O229" s="106"/>
      <c r="P229" s="106"/>
      <c r="Q229" s="106"/>
    </row>
    <row r="230" spans="2:17" hidden="1" outlineLevel="1">
      <c r="C230" s="9"/>
      <c r="D230" s="5">
        <v>8</v>
      </c>
      <c r="E230" s="303" t="s">
        <v>210</v>
      </c>
      <c r="F230" s="20" t="s">
        <v>211</v>
      </c>
      <c r="G230" s="306"/>
      <c r="H230" s="306"/>
      <c r="I230" s="306"/>
      <c r="J230" s="306"/>
      <c r="K230" s="306"/>
      <c r="L230" s="306"/>
      <c r="M230" s="306"/>
      <c r="N230" s="306"/>
      <c r="O230" s="306"/>
      <c r="P230" s="229"/>
      <c r="Q230" s="229"/>
    </row>
    <row r="231" spans="2:17" hidden="1" outlineLevel="1">
      <c r="C231" s="9"/>
      <c r="D231" s="52">
        <v>9</v>
      </c>
      <c r="E231" s="293" t="s">
        <v>212</v>
      </c>
      <c r="F231" s="55" t="s">
        <v>287</v>
      </c>
      <c r="G231" s="306"/>
      <c r="H231" s="229"/>
      <c r="I231" s="307"/>
      <c r="J231" s="229"/>
      <c r="K231" s="229"/>
      <c r="L231" s="229"/>
      <c r="M231" s="229"/>
      <c r="N231" s="229"/>
      <c r="O231" s="229"/>
      <c r="P231" s="229"/>
      <c r="Q231" s="229"/>
    </row>
    <row r="232" spans="2:17" hidden="1" outlineLevel="1">
      <c r="C232" s="9"/>
      <c r="D232" s="7">
        <v>10</v>
      </c>
      <c r="E232" s="310" t="s">
        <v>213</v>
      </c>
      <c r="F232" s="22"/>
      <c r="G232" s="12" t="str">
        <f>IFERROR(+G228/G230,"")</f>
        <v/>
      </c>
      <c r="H232" s="13" t="str">
        <f>IFERROR(+H228/H230,"")</f>
        <v/>
      </c>
      <c r="I232" s="16" t="str">
        <f t="shared" ref="I232:Q232" si="50">IFERROR(+I228/I230,"")</f>
        <v/>
      </c>
      <c r="J232" s="13" t="str">
        <f t="shared" si="50"/>
        <v/>
      </c>
      <c r="K232" s="13" t="str">
        <f t="shared" si="50"/>
        <v/>
      </c>
      <c r="L232" s="13" t="str">
        <f t="shared" si="50"/>
        <v/>
      </c>
      <c r="M232" s="13" t="str">
        <f t="shared" si="50"/>
        <v/>
      </c>
      <c r="N232" s="13" t="str">
        <f t="shared" si="50"/>
        <v/>
      </c>
      <c r="O232" s="13" t="str">
        <f t="shared" si="50"/>
        <v/>
      </c>
      <c r="P232" s="13" t="str">
        <f t="shared" si="50"/>
        <v/>
      </c>
      <c r="Q232" s="13" t="str">
        <f t="shared" si="50"/>
        <v/>
      </c>
    </row>
    <row r="233" spans="2:17" hidden="1" outlineLevel="1">
      <c r="C233" s="9"/>
      <c r="D233" s="7">
        <v>11</v>
      </c>
      <c r="E233" s="310" t="s">
        <v>214</v>
      </c>
      <c r="F233" s="22" t="s">
        <v>215</v>
      </c>
      <c r="G233" s="348"/>
      <c r="H233" s="48" t="str">
        <f t="shared" ref="H233:Q233" si="51">IFERROR((H232-G232)/G232,"")</f>
        <v/>
      </c>
      <c r="I233" s="49" t="str">
        <f t="shared" si="51"/>
        <v/>
      </c>
      <c r="J233" s="48" t="str">
        <f t="shared" si="51"/>
        <v/>
      </c>
      <c r="K233" s="48" t="str">
        <f>IFERROR((K232-J232)/J232,"")</f>
        <v/>
      </c>
      <c r="L233" s="48" t="str">
        <f t="shared" si="51"/>
        <v/>
      </c>
      <c r="M233" s="48" t="str">
        <f t="shared" si="51"/>
        <v/>
      </c>
      <c r="N233" s="48" t="str">
        <f t="shared" si="51"/>
        <v/>
      </c>
      <c r="O233" s="48" t="str">
        <f t="shared" si="51"/>
        <v/>
      </c>
      <c r="P233" s="48" t="str">
        <f t="shared" si="51"/>
        <v/>
      </c>
      <c r="Q233" s="48" t="str">
        <f t="shared" si="51"/>
        <v/>
      </c>
    </row>
    <row r="234" spans="2:17" hidden="1" outlineLevel="1">
      <c r="C234" s="9"/>
      <c r="D234" s="7">
        <v>12</v>
      </c>
      <c r="E234" s="310" t="s">
        <v>216</v>
      </c>
      <c r="F234" s="21"/>
      <c r="G234" s="70" t="str">
        <f t="shared" ref="G234:Q234" si="52">IFERROR(+G229/G231,"")</f>
        <v/>
      </c>
      <c r="H234" s="71" t="str">
        <f t="shared" si="52"/>
        <v/>
      </c>
      <c r="I234" s="71" t="str">
        <f t="shared" si="52"/>
        <v/>
      </c>
      <c r="J234" s="71" t="str">
        <f t="shared" si="52"/>
        <v/>
      </c>
      <c r="K234" s="71" t="str">
        <f t="shared" si="52"/>
        <v/>
      </c>
      <c r="L234" s="71" t="str">
        <f t="shared" si="52"/>
        <v/>
      </c>
      <c r="M234" s="71" t="str">
        <f t="shared" si="52"/>
        <v/>
      </c>
      <c r="N234" s="71" t="str">
        <f t="shared" si="52"/>
        <v/>
      </c>
      <c r="O234" s="71" t="str">
        <f t="shared" si="52"/>
        <v/>
      </c>
      <c r="P234" s="71" t="str">
        <f t="shared" si="52"/>
        <v/>
      </c>
      <c r="Q234" s="71" t="str">
        <f t="shared" si="52"/>
        <v/>
      </c>
    </row>
    <row r="235" spans="2:17" hidden="1" outlineLevel="1">
      <c r="D235" s="7">
        <v>13</v>
      </c>
      <c r="E235" s="310" t="s">
        <v>217</v>
      </c>
      <c r="F235" s="21" t="s">
        <v>218</v>
      </c>
      <c r="G235" s="348"/>
      <c r="H235" s="48" t="str">
        <f t="shared" ref="H235:Q235" si="53">IFERROR((H234-G234)/G234,"")</f>
        <v/>
      </c>
      <c r="I235" s="49" t="str">
        <f t="shared" si="53"/>
        <v/>
      </c>
      <c r="J235" s="48" t="str">
        <f t="shared" si="53"/>
        <v/>
      </c>
      <c r="K235" s="48" t="str">
        <f t="shared" si="53"/>
        <v/>
      </c>
      <c r="L235" s="48" t="str">
        <f t="shared" si="53"/>
        <v/>
      </c>
      <c r="M235" s="48" t="str">
        <f t="shared" si="53"/>
        <v/>
      </c>
      <c r="N235" s="48" t="str">
        <f t="shared" si="53"/>
        <v/>
      </c>
      <c r="O235" s="48" t="str">
        <f t="shared" si="53"/>
        <v/>
      </c>
      <c r="P235" s="48" t="str">
        <f t="shared" si="53"/>
        <v/>
      </c>
      <c r="Q235" s="48" t="str">
        <f t="shared" si="53"/>
        <v/>
      </c>
    </row>
    <row r="236" spans="2:17" collapsed="1">
      <c r="E236" s="314"/>
    </row>
    <row r="237" spans="2:17" ht="18.5" thickBot="1">
      <c r="B237" s="69"/>
      <c r="C237" s="46" t="s">
        <v>294</v>
      </c>
      <c r="D237" s="4"/>
      <c r="E237" s="308"/>
      <c r="F237" s="240" t="str">
        <f>IF(G238="","","折りたたまれたセルのグループ（非表示行）を展開して、入力項目を入力してください。")</f>
        <v/>
      </c>
      <c r="L237" s="51"/>
    </row>
    <row r="238" spans="2:17" ht="50.15" customHeight="1" thickBot="1">
      <c r="D238" s="128">
        <v>1</v>
      </c>
      <c r="E238" s="311" t="s">
        <v>275</v>
      </c>
      <c r="F238" s="129"/>
      <c r="G238" s="130" t="str">
        <f>IF($M$100="","",$M$100)</f>
        <v/>
      </c>
    </row>
    <row r="239" spans="2:17" hidden="1" outlineLevel="1">
      <c r="D239" s="52">
        <v>2</v>
      </c>
      <c r="E239" s="312" t="s">
        <v>292</v>
      </c>
      <c r="F239" s="57" t="s">
        <v>241</v>
      </c>
      <c r="G239" s="144"/>
    </row>
    <row r="240" spans="2:17" ht="33" hidden="1" outlineLevel="1">
      <c r="D240" s="52">
        <v>3</v>
      </c>
      <c r="E240" s="312" t="s">
        <v>277</v>
      </c>
      <c r="F240" s="30" t="s">
        <v>241</v>
      </c>
      <c r="G240" s="141"/>
      <c r="K240" s="375" t="s">
        <v>278</v>
      </c>
      <c r="L240" s="375"/>
      <c r="M240" s="375"/>
      <c r="N240" s="375"/>
      <c r="O240" s="196"/>
      <c r="P240" s="195" t="s">
        <v>279</v>
      </c>
      <c r="Q240" s="50" t="s">
        <v>280</v>
      </c>
    </row>
    <row r="241" spans="2:17" hidden="1" outlineLevel="1">
      <c r="D241" s="52">
        <v>4</v>
      </c>
      <c r="E241" s="293" t="s">
        <v>281</v>
      </c>
      <c r="F241" s="19" t="s">
        <v>241</v>
      </c>
      <c r="G241" s="141"/>
      <c r="H241" s="6"/>
      <c r="K241" s="375"/>
      <c r="L241" s="375"/>
      <c r="M241" s="375"/>
      <c r="N241" s="375"/>
      <c r="O241" s="125" t="s">
        <v>282</v>
      </c>
      <c r="P241" s="131" t="str">
        <f>IF(AND(COUNTA($G248:$Q248)&gt;0,SUMIF($G248:$Q248,"&lt;&gt;"&amp;"")=0),"－",IFERROR(((HLOOKUP(EDATE($F$13,36),$G245:$Q253,6,FALSE))/(HLOOKUP(EDATE($F$13,0),$G245:$Q253,6,FALSE)))^(1/3)-1,""))</f>
        <v/>
      </c>
      <c r="Q241" s="376">
        <v>4.4999999999999998E-2</v>
      </c>
    </row>
    <row r="242" spans="2:17" ht="36" hidden="1" outlineLevel="1">
      <c r="D242" s="52">
        <v>5</v>
      </c>
      <c r="E242" s="293" t="s">
        <v>283</v>
      </c>
      <c r="F242" s="19" t="s">
        <v>256</v>
      </c>
      <c r="G242" s="315"/>
      <c r="H242" s="6"/>
      <c r="K242" s="375"/>
      <c r="L242" s="375"/>
      <c r="M242" s="375"/>
      <c r="N242" s="375"/>
      <c r="O242" s="125" t="s">
        <v>284</v>
      </c>
      <c r="P242" s="125" t="str">
        <f>IF(AND(COUNTA($G249:$Q249)&gt;0,SUMIF($G249:$Q249,"&lt;&gt;"&amp;"")=0),"－",IFERROR(((HLOOKUP(EDATE($F$13,36),$G245:$Q253,8,FALSE))/(HLOOKUP(EDATE($F$13,0),$G245:$Q253,8,FALSE)))^(1/3)-1,""))</f>
        <v/>
      </c>
      <c r="Q242" s="377"/>
    </row>
    <row r="243" spans="2:17" hidden="1" outlineLevel="1">
      <c r="D243" s="35"/>
      <c r="E243" s="316" t="s">
        <v>257</v>
      </c>
      <c r="F243" s="34"/>
      <c r="G243" s="1" t="s">
        <v>179</v>
      </c>
    </row>
    <row r="244" spans="2:17" hidden="1" outlineLevel="1">
      <c r="E244" s="308"/>
      <c r="G244" s="64" t="s">
        <v>181</v>
      </c>
      <c r="H244" s="64" t="s">
        <v>182</v>
      </c>
      <c r="I244" s="64" t="s">
        <v>183</v>
      </c>
      <c r="J244" s="132" t="s">
        <v>184</v>
      </c>
      <c r="K244" s="132"/>
      <c r="L244" s="132"/>
      <c r="M244" s="132"/>
      <c r="N244" s="132"/>
      <c r="O244" s="132"/>
      <c r="P244" s="132"/>
      <c r="Q244" s="132"/>
    </row>
    <row r="245" spans="2:17" hidden="1" outlineLevel="1">
      <c r="D245" s="11"/>
      <c r="E245" s="206"/>
      <c r="F245" s="56"/>
      <c r="G245" s="63" t="str">
        <f>IF($I245="","",EDATE(H245,-12))</f>
        <v/>
      </c>
      <c r="H245" s="63" t="str">
        <f>IF($I245="","",EDATE(I245,-12))</f>
        <v/>
      </c>
      <c r="I245" s="63" t="str">
        <f>IF($I$12="","",$I$12)</f>
        <v/>
      </c>
      <c r="J245" s="63" t="str">
        <f t="shared" ref="J245:Q245" si="54">IF($I245="","",EDATE(I245,12))</f>
        <v/>
      </c>
      <c r="K245" s="63" t="str">
        <f t="shared" si="54"/>
        <v/>
      </c>
      <c r="L245" s="63" t="str">
        <f t="shared" si="54"/>
        <v/>
      </c>
      <c r="M245" s="63" t="str">
        <f t="shared" si="54"/>
        <v/>
      </c>
      <c r="N245" s="63" t="str">
        <f t="shared" si="54"/>
        <v/>
      </c>
      <c r="O245" s="63" t="str">
        <f t="shared" si="54"/>
        <v/>
      </c>
      <c r="P245" s="63" t="str">
        <f t="shared" si="54"/>
        <v/>
      </c>
      <c r="Q245" s="63" t="str">
        <f t="shared" si="54"/>
        <v/>
      </c>
    </row>
    <row r="246" spans="2:17" hidden="1" outlineLevel="1">
      <c r="D246" s="52">
        <v>6</v>
      </c>
      <c r="E246" s="293" t="s">
        <v>206</v>
      </c>
      <c r="F246" s="55"/>
      <c r="G246" s="138"/>
      <c r="H246" s="138"/>
      <c r="I246" s="138"/>
      <c r="J246" s="138"/>
      <c r="K246" s="138"/>
      <c r="L246" s="138"/>
      <c r="M246" s="138"/>
      <c r="N246" s="138"/>
      <c r="O246" s="138"/>
      <c r="P246" s="106"/>
      <c r="Q246" s="106"/>
    </row>
    <row r="247" spans="2:17" hidden="1" outlineLevel="1">
      <c r="C247" s="9"/>
      <c r="D247" s="52">
        <v>7</v>
      </c>
      <c r="E247" s="293" t="s">
        <v>207</v>
      </c>
      <c r="F247" s="55"/>
      <c r="G247" s="138"/>
      <c r="H247" s="106"/>
      <c r="I247" s="139"/>
      <c r="J247" s="106"/>
      <c r="K247" s="106"/>
      <c r="L247" s="154"/>
      <c r="M247" s="106"/>
      <c r="N247" s="106"/>
      <c r="O247" s="106"/>
      <c r="P247" s="106"/>
      <c r="Q247" s="106"/>
    </row>
    <row r="248" spans="2:17" hidden="1" outlineLevel="1">
      <c r="C248" s="9"/>
      <c r="D248" s="5">
        <v>8</v>
      </c>
      <c r="E248" s="303" t="s">
        <v>210</v>
      </c>
      <c r="F248" s="20" t="s">
        <v>211</v>
      </c>
      <c r="G248" s="306"/>
      <c r="H248" s="306"/>
      <c r="I248" s="306"/>
      <c r="J248" s="306"/>
      <c r="K248" s="306"/>
      <c r="L248" s="306"/>
      <c r="M248" s="306"/>
      <c r="N248" s="306"/>
      <c r="O248" s="306"/>
      <c r="P248" s="229"/>
      <c r="Q248" s="229"/>
    </row>
    <row r="249" spans="2:17" hidden="1" outlineLevel="1">
      <c r="C249" s="9"/>
      <c r="D249" s="52">
        <v>9</v>
      </c>
      <c r="E249" s="293" t="s">
        <v>212</v>
      </c>
      <c r="F249" s="55" t="s">
        <v>287</v>
      </c>
      <c r="G249" s="306"/>
      <c r="H249" s="229"/>
      <c r="I249" s="307"/>
      <c r="J249" s="229"/>
      <c r="K249" s="229"/>
      <c r="L249" s="229"/>
      <c r="M249" s="229"/>
      <c r="N249" s="229"/>
      <c r="O249" s="229"/>
      <c r="P249" s="229"/>
      <c r="Q249" s="229"/>
    </row>
    <row r="250" spans="2:17" hidden="1" outlineLevel="1">
      <c r="C250" s="9"/>
      <c r="D250" s="7">
        <v>10</v>
      </c>
      <c r="E250" s="310" t="s">
        <v>213</v>
      </c>
      <c r="F250" s="22"/>
      <c r="G250" s="12" t="str">
        <f>IFERROR(+G246/G248,"")</f>
        <v/>
      </c>
      <c r="H250" s="13" t="str">
        <f>IFERROR(+H246/H248,"")</f>
        <v/>
      </c>
      <c r="I250" s="16" t="str">
        <f t="shared" ref="I250:Q250" si="55">IFERROR(+I246/I248,"")</f>
        <v/>
      </c>
      <c r="J250" s="13" t="str">
        <f t="shared" si="55"/>
        <v/>
      </c>
      <c r="K250" s="13" t="str">
        <f t="shared" si="55"/>
        <v/>
      </c>
      <c r="L250" s="13" t="str">
        <f t="shared" si="55"/>
        <v/>
      </c>
      <c r="M250" s="13" t="str">
        <f t="shared" si="55"/>
        <v/>
      </c>
      <c r="N250" s="13" t="str">
        <f t="shared" si="55"/>
        <v/>
      </c>
      <c r="O250" s="13" t="str">
        <f t="shared" si="55"/>
        <v/>
      </c>
      <c r="P250" s="13" t="str">
        <f t="shared" si="55"/>
        <v/>
      </c>
      <c r="Q250" s="13" t="str">
        <f t="shared" si="55"/>
        <v/>
      </c>
    </row>
    <row r="251" spans="2:17" hidden="1" outlineLevel="1">
      <c r="C251" s="9"/>
      <c r="D251" s="7">
        <v>11</v>
      </c>
      <c r="E251" s="310" t="s">
        <v>214</v>
      </c>
      <c r="F251" s="22" t="s">
        <v>215</v>
      </c>
      <c r="G251" s="14"/>
      <c r="H251" s="48" t="str">
        <f t="shared" ref="H251:Q251" si="56">IFERROR((H250-G250)/G250,"")</f>
        <v/>
      </c>
      <c r="I251" s="49" t="str">
        <f t="shared" si="56"/>
        <v/>
      </c>
      <c r="J251" s="48" t="str">
        <f t="shared" si="56"/>
        <v/>
      </c>
      <c r="K251" s="48" t="str">
        <f>IFERROR((K250-J250)/J250,"")</f>
        <v/>
      </c>
      <c r="L251" s="48" t="str">
        <f t="shared" si="56"/>
        <v/>
      </c>
      <c r="M251" s="48" t="str">
        <f t="shared" si="56"/>
        <v/>
      </c>
      <c r="N251" s="48" t="str">
        <f t="shared" si="56"/>
        <v/>
      </c>
      <c r="O251" s="48" t="str">
        <f t="shared" si="56"/>
        <v/>
      </c>
      <c r="P251" s="48" t="str">
        <f t="shared" si="56"/>
        <v/>
      </c>
      <c r="Q251" s="48" t="str">
        <f t="shared" si="56"/>
        <v/>
      </c>
    </row>
    <row r="252" spans="2:17" hidden="1" outlineLevel="1">
      <c r="C252" s="9"/>
      <c r="D252" s="7">
        <v>12</v>
      </c>
      <c r="E252" s="310" t="s">
        <v>216</v>
      </c>
      <c r="F252" s="21"/>
      <c r="G252" s="70" t="str">
        <f t="shared" ref="G252:Q252" si="57">IFERROR(+G247/G249,"")</f>
        <v/>
      </c>
      <c r="H252" s="71" t="str">
        <f t="shared" si="57"/>
        <v/>
      </c>
      <c r="I252" s="71" t="str">
        <f t="shared" si="57"/>
        <v/>
      </c>
      <c r="J252" s="71" t="str">
        <f t="shared" si="57"/>
        <v/>
      </c>
      <c r="K252" s="71" t="str">
        <f t="shared" si="57"/>
        <v/>
      </c>
      <c r="L252" s="71" t="str">
        <f t="shared" si="57"/>
        <v/>
      </c>
      <c r="M252" s="71" t="str">
        <f t="shared" si="57"/>
        <v/>
      </c>
      <c r="N252" s="71" t="str">
        <f t="shared" si="57"/>
        <v/>
      </c>
      <c r="O252" s="71" t="str">
        <f t="shared" si="57"/>
        <v/>
      </c>
      <c r="P252" s="71" t="str">
        <f t="shared" si="57"/>
        <v/>
      </c>
      <c r="Q252" s="71" t="str">
        <f t="shared" si="57"/>
        <v/>
      </c>
    </row>
    <row r="253" spans="2:17" hidden="1" outlineLevel="1">
      <c r="D253" s="7">
        <v>13</v>
      </c>
      <c r="E253" s="310" t="s">
        <v>217</v>
      </c>
      <c r="F253" s="21" t="s">
        <v>218</v>
      </c>
      <c r="G253" s="14"/>
      <c r="H253" s="48" t="str">
        <f t="shared" ref="H253:Q253" si="58">IFERROR((H252-G252)/G252,"")</f>
        <v/>
      </c>
      <c r="I253" s="49" t="str">
        <f t="shared" si="58"/>
        <v/>
      </c>
      <c r="J253" s="48" t="str">
        <f t="shared" si="58"/>
        <v/>
      </c>
      <c r="K253" s="48" t="str">
        <f t="shared" si="58"/>
        <v/>
      </c>
      <c r="L253" s="48" t="str">
        <f t="shared" si="58"/>
        <v/>
      </c>
      <c r="M253" s="48" t="str">
        <f t="shared" si="58"/>
        <v/>
      </c>
      <c r="N253" s="48" t="str">
        <f t="shared" si="58"/>
        <v/>
      </c>
      <c r="O253" s="48" t="str">
        <f t="shared" si="58"/>
        <v/>
      </c>
      <c r="P253" s="48" t="str">
        <f t="shared" si="58"/>
        <v/>
      </c>
      <c r="Q253" s="48" t="str">
        <f t="shared" si="58"/>
        <v/>
      </c>
    </row>
    <row r="254" spans="2:17" collapsed="1">
      <c r="E254" s="314"/>
    </row>
    <row r="255" spans="2:17" ht="18.5" thickBot="1">
      <c r="B255" s="69"/>
      <c r="C255" s="46" t="s">
        <v>295</v>
      </c>
      <c r="D255" s="4"/>
      <c r="E255" s="308"/>
      <c r="F255" s="240" t="str">
        <f>IF(G256="","","折りたたまれたセルのグループ（非表示行）を展開して、入力項目を入力してください。")</f>
        <v/>
      </c>
      <c r="L255" s="51"/>
    </row>
    <row r="256" spans="2:17" ht="50.15" customHeight="1" thickBot="1">
      <c r="D256" s="128">
        <v>1</v>
      </c>
      <c r="E256" s="311" t="s">
        <v>275</v>
      </c>
      <c r="F256" s="129"/>
      <c r="G256" s="130" t="str">
        <f>IF($N$100="","",$N$100)</f>
        <v/>
      </c>
    </row>
    <row r="257" spans="3:17" hidden="1" outlineLevel="1">
      <c r="D257" s="52">
        <v>2</v>
      </c>
      <c r="E257" s="312" t="s">
        <v>292</v>
      </c>
      <c r="F257" s="57" t="s">
        <v>241</v>
      </c>
      <c r="G257" s="144"/>
    </row>
    <row r="258" spans="3:17" ht="33" hidden="1" outlineLevel="1">
      <c r="D258" s="52">
        <v>3</v>
      </c>
      <c r="E258" s="312" t="s">
        <v>277</v>
      </c>
      <c r="F258" s="30" t="s">
        <v>241</v>
      </c>
      <c r="G258" s="141"/>
      <c r="K258" s="375" t="s">
        <v>278</v>
      </c>
      <c r="L258" s="375"/>
      <c r="M258" s="375"/>
      <c r="N258" s="375"/>
      <c r="O258" s="196"/>
      <c r="P258" s="195" t="s">
        <v>279</v>
      </c>
      <c r="Q258" s="50" t="s">
        <v>280</v>
      </c>
    </row>
    <row r="259" spans="3:17" hidden="1" outlineLevel="1">
      <c r="D259" s="52">
        <v>4</v>
      </c>
      <c r="E259" s="293" t="s">
        <v>281</v>
      </c>
      <c r="F259" s="19" t="s">
        <v>241</v>
      </c>
      <c r="G259" s="141"/>
      <c r="H259" s="6"/>
      <c r="K259" s="375"/>
      <c r="L259" s="375"/>
      <c r="M259" s="375"/>
      <c r="N259" s="375"/>
      <c r="O259" s="125" t="s">
        <v>282</v>
      </c>
      <c r="P259" s="131" t="str">
        <f>IF(AND(COUNTA($G266:$Q266)&gt;0,SUMIF($G266:$Q266,"&lt;&gt;"&amp;"")=0),"－",IFERROR(((HLOOKUP(EDATE($F$13,36),$G263:$Q271,6,FALSE))/(HLOOKUP(EDATE($F$13,0),$G263:$Q271,6,FALSE)))^(1/3)-1,""))</f>
        <v/>
      </c>
      <c r="Q259" s="376">
        <v>4.4999999999999998E-2</v>
      </c>
    </row>
    <row r="260" spans="3:17" ht="36" hidden="1" outlineLevel="1">
      <c r="D260" s="52">
        <v>5</v>
      </c>
      <c r="E260" s="293" t="s">
        <v>283</v>
      </c>
      <c r="F260" s="19" t="s">
        <v>256</v>
      </c>
      <c r="G260" s="315"/>
      <c r="H260" s="6"/>
      <c r="K260" s="375"/>
      <c r="L260" s="375"/>
      <c r="M260" s="375"/>
      <c r="N260" s="375"/>
      <c r="O260" s="125" t="s">
        <v>284</v>
      </c>
      <c r="P260" s="125" t="str">
        <f>IF(AND(COUNTA($G267:$Q267)&gt;0,SUMIF($G267:$Q267,"&lt;&gt;"&amp;"")=0),"－",IFERROR(((HLOOKUP(EDATE($F$13,36),$G263:$Q271,8,FALSE))/(HLOOKUP(EDATE($F$13,0),$G263:$Q271,8,FALSE)))^(1/3)-1,""))</f>
        <v/>
      </c>
      <c r="Q260" s="377"/>
    </row>
    <row r="261" spans="3:17" hidden="1" outlineLevel="1">
      <c r="D261" s="35"/>
      <c r="E261" s="316" t="s">
        <v>257</v>
      </c>
      <c r="F261" s="34"/>
      <c r="G261" s="1" t="s">
        <v>179</v>
      </c>
    </row>
    <row r="262" spans="3:17" hidden="1" outlineLevel="1">
      <c r="E262" s="308"/>
      <c r="G262" s="64" t="s">
        <v>181</v>
      </c>
      <c r="H262" s="64" t="s">
        <v>182</v>
      </c>
      <c r="I262" s="64" t="s">
        <v>183</v>
      </c>
      <c r="J262" s="132" t="s">
        <v>184</v>
      </c>
      <c r="K262" s="132"/>
      <c r="L262" s="132"/>
      <c r="M262" s="132"/>
      <c r="N262" s="132"/>
      <c r="O262" s="132"/>
      <c r="P262" s="132"/>
      <c r="Q262" s="132"/>
    </row>
    <row r="263" spans="3:17" hidden="1" outlineLevel="1">
      <c r="D263" s="11"/>
      <c r="E263" s="206"/>
      <c r="F263" s="56"/>
      <c r="G263" s="63" t="str">
        <f>IF($I263="","",EDATE(H263,-12))</f>
        <v/>
      </c>
      <c r="H263" s="63" t="str">
        <f>IF($I263="","",EDATE(I263,-12))</f>
        <v/>
      </c>
      <c r="I263" s="63" t="str">
        <f>IF($I$12="","",$I$12)</f>
        <v/>
      </c>
      <c r="J263" s="63" t="str">
        <f t="shared" ref="J263:Q263" si="59">IF($I263="","",EDATE(I263,12))</f>
        <v/>
      </c>
      <c r="K263" s="63" t="str">
        <f t="shared" si="59"/>
        <v/>
      </c>
      <c r="L263" s="63" t="str">
        <f t="shared" si="59"/>
        <v/>
      </c>
      <c r="M263" s="63" t="str">
        <f t="shared" si="59"/>
        <v/>
      </c>
      <c r="N263" s="63" t="str">
        <f t="shared" si="59"/>
        <v/>
      </c>
      <c r="O263" s="63" t="str">
        <f t="shared" si="59"/>
        <v/>
      </c>
      <c r="P263" s="63" t="str">
        <f t="shared" si="59"/>
        <v/>
      </c>
      <c r="Q263" s="63" t="str">
        <f t="shared" si="59"/>
        <v/>
      </c>
    </row>
    <row r="264" spans="3:17" hidden="1" outlineLevel="1">
      <c r="D264" s="52">
        <v>6</v>
      </c>
      <c r="E264" s="293" t="s">
        <v>206</v>
      </c>
      <c r="F264" s="55"/>
      <c r="G264" s="138"/>
      <c r="H264" s="138"/>
      <c r="I264" s="138"/>
      <c r="J264" s="138"/>
      <c r="K264" s="138"/>
      <c r="L264" s="138"/>
      <c r="M264" s="138"/>
      <c r="N264" s="138"/>
      <c r="O264" s="138"/>
      <c r="P264" s="106"/>
      <c r="Q264" s="106"/>
    </row>
    <row r="265" spans="3:17" hidden="1" outlineLevel="1">
      <c r="C265" s="9"/>
      <c r="D265" s="52">
        <v>7</v>
      </c>
      <c r="E265" s="293" t="s">
        <v>207</v>
      </c>
      <c r="F265" s="55"/>
      <c r="G265" s="138"/>
      <c r="H265" s="106"/>
      <c r="I265" s="139"/>
      <c r="J265" s="106"/>
      <c r="K265" s="106"/>
      <c r="L265" s="154"/>
      <c r="M265" s="106"/>
      <c r="N265" s="106"/>
      <c r="O265" s="106"/>
      <c r="P265" s="106"/>
      <c r="Q265" s="106"/>
    </row>
    <row r="266" spans="3:17" hidden="1" outlineLevel="1">
      <c r="C266" s="9"/>
      <c r="D266" s="5">
        <v>8</v>
      </c>
      <c r="E266" s="303" t="s">
        <v>210</v>
      </c>
      <c r="F266" s="20" t="s">
        <v>211</v>
      </c>
      <c r="G266" s="306"/>
      <c r="H266" s="306"/>
      <c r="I266" s="306"/>
      <c r="J266" s="306"/>
      <c r="K266" s="306"/>
      <c r="L266" s="306"/>
      <c r="M266" s="306"/>
      <c r="N266" s="306"/>
      <c r="O266" s="306"/>
      <c r="P266" s="229"/>
      <c r="Q266" s="229"/>
    </row>
    <row r="267" spans="3:17" hidden="1" outlineLevel="1">
      <c r="C267" s="9"/>
      <c r="D267" s="52">
        <v>9</v>
      </c>
      <c r="E267" s="293" t="s">
        <v>212</v>
      </c>
      <c r="F267" s="55" t="s">
        <v>287</v>
      </c>
      <c r="G267" s="306"/>
      <c r="H267" s="229"/>
      <c r="I267" s="307"/>
      <c r="J267" s="229"/>
      <c r="K267" s="229"/>
      <c r="L267" s="229"/>
      <c r="M267" s="229"/>
      <c r="N267" s="229"/>
      <c r="O267" s="229"/>
      <c r="P267" s="229"/>
      <c r="Q267" s="229"/>
    </row>
    <row r="268" spans="3:17" hidden="1" outlineLevel="1">
      <c r="C268" s="9"/>
      <c r="D268" s="7">
        <v>10</v>
      </c>
      <c r="E268" s="310" t="s">
        <v>213</v>
      </c>
      <c r="F268" s="22"/>
      <c r="G268" s="12" t="str">
        <f>IFERROR(+G264/G266,"")</f>
        <v/>
      </c>
      <c r="H268" s="13" t="str">
        <f>IFERROR(+H264/H266,"")</f>
        <v/>
      </c>
      <c r="I268" s="16" t="str">
        <f t="shared" ref="I268:Q268" si="60">IFERROR(+I264/I266,"")</f>
        <v/>
      </c>
      <c r="J268" s="13" t="str">
        <f t="shared" si="60"/>
        <v/>
      </c>
      <c r="K268" s="13" t="str">
        <f t="shared" si="60"/>
        <v/>
      </c>
      <c r="L268" s="13" t="str">
        <f t="shared" si="60"/>
        <v/>
      </c>
      <c r="M268" s="13" t="str">
        <f t="shared" si="60"/>
        <v/>
      </c>
      <c r="N268" s="13" t="str">
        <f t="shared" si="60"/>
        <v/>
      </c>
      <c r="O268" s="13" t="str">
        <f t="shared" si="60"/>
        <v/>
      </c>
      <c r="P268" s="13" t="str">
        <f t="shared" si="60"/>
        <v/>
      </c>
      <c r="Q268" s="13" t="str">
        <f t="shared" si="60"/>
        <v/>
      </c>
    </row>
    <row r="269" spans="3:17" hidden="1" outlineLevel="1">
      <c r="C269" s="9"/>
      <c r="D269" s="7">
        <v>11</v>
      </c>
      <c r="E269" s="310" t="s">
        <v>214</v>
      </c>
      <c r="F269" s="22" t="s">
        <v>215</v>
      </c>
      <c r="G269" s="14"/>
      <c r="H269" s="48" t="str">
        <f t="shared" ref="H269:Q269" si="61">IFERROR((H268-G268)/G268,"")</f>
        <v/>
      </c>
      <c r="I269" s="49" t="str">
        <f t="shared" si="61"/>
        <v/>
      </c>
      <c r="J269" s="48" t="str">
        <f t="shared" si="61"/>
        <v/>
      </c>
      <c r="K269" s="48" t="str">
        <f>IFERROR((K268-J268)/J268,"")</f>
        <v/>
      </c>
      <c r="L269" s="48" t="str">
        <f t="shared" si="61"/>
        <v/>
      </c>
      <c r="M269" s="48" t="str">
        <f t="shared" si="61"/>
        <v/>
      </c>
      <c r="N269" s="48" t="str">
        <f t="shared" si="61"/>
        <v/>
      </c>
      <c r="O269" s="48" t="str">
        <f t="shared" si="61"/>
        <v/>
      </c>
      <c r="P269" s="48" t="str">
        <f t="shared" si="61"/>
        <v/>
      </c>
      <c r="Q269" s="48" t="str">
        <f t="shared" si="61"/>
        <v/>
      </c>
    </row>
    <row r="270" spans="3:17" hidden="1" outlineLevel="1">
      <c r="C270" s="9"/>
      <c r="D270" s="7">
        <v>12</v>
      </c>
      <c r="E270" s="310" t="s">
        <v>216</v>
      </c>
      <c r="F270" s="21"/>
      <c r="G270" s="70" t="str">
        <f t="shared" ref="G270:Q270" si="62">IFERROR(+G265/G267,"")</f>
        <v/>
      </c>
      <c r="H270" s="71" t="str">
        <f t="shared" si="62"/>
        <v/>
      </c>
      <c r="I270" s="71" t="str">
        <f t="shared" si="62"/>
        <v/>
      </c>
      <c r="J270" s="71" t="str">
        <f t="shared" si="62"/>
        <v/>
      </c>
      <c r="K270" s="71" t="str">
        <f t="shared" si="62"/>
        <v/>
      </c>
      <c r="L270" s="71" t="str">
        <f t="shared" si="62"/>
        <v/>
      </c>
      <c r="M270" s="71" t="str">
        <f t="shared" si="62"/>
        <v/>
      </c>
      <c r="N270" s="71" t="str">
        <f t="shared" si="62"/>
        <v/>
      </c>
      <c r="O270" s="71" t="str">
        <f t="shared" si="62"/>
        <v/>
      </c>
      <c r="P270" s="71" t="str">
        <f t="shared" si="62"/>
        <v/>
      </c>
      <c r="Q270" s="71" t="str">
        <f t="shared" si="62"/>
        <v/>
      </c>
    </row>
    <row r="271" spans="3:17" hidden="1" outlineLevel="1">
      <c r="D271" s="7">
        <v>13</v>
      </c>
      <c r="E271" s="310" t="s">
        <v>217</v>
      </c>
      <c r="F271" s="21" t="s">
        <v>218</v>
      </c>
      <c r="G271" s="14"/>
      <c r="H271" s="48" t="str">
        <f t="shared" ref="H271:Q271" si="63">IFERROR((H270-G270)/G270,"")</f>
        <v/>
      </c>
      <c r="I271" s="49" t="str">
        <f t="shared" si="63"/>
        <v/>
      </c>
      <c r="J271" s="48" t="str">
        <f t="shared" si="63"/>
        <v/>
      </c>
      <c r="K271" s="48" t="str">
        <f t="shared" si="63"/>
        <v/>
      </c>
      <c r="L271" s="48" t="str">
        <f t="shared" si="63"/>
        <v/>
      </c>
      <c r="M271" s="48" t="str">
        <f t="shared" si="63"/>
        <v/>
      </c>
      <c r="N271" s="48" t="str">
        <f t="shared" si="63"/>
        <v/>
      </c>
      <c r="O271" s="48" t="str">
        <f t="shared" si="63"/>
        <v/>
      </c>
      <c r="P271" s="48" t="str">
        <f t="shared" si="63"/>
        <v/>
      </c>
      <c r="Q271" s="48" t="str">
        <f t="shared" si="63"/>
        <v/>
      </c>
    </row>
    <row r="272" spans="3:17" collapsed="1">
      <c r="E272" s="314"/>
    </row>
    <row r="273" spans="2:17" ht="18.5" thickBot="1">
      <c r="B273" s="69"/>
      <c r="C273" s="46" t="s">
        <v>296</v>
      </c>
      <c r="D273" s="4"/>
      <c r="E273" s="308"/>
      <c r="F273" s="240" t="str">
        <f>IF(G274="","","折りたたまれたセルのグループ（非表示行）を展開して、入力項目を入力してください。")</f>
        <v/>
      </c>
      <c r="L273" s="51"/>
    </row>
    <row r="274" spans="2:17" ht="50.15" customHeight="1" thickBot="1">
      <c r="D274" s="128">
        <v>1</v>
      </c>
      <c r="E274" s="311" t="s">
        <v>275</v>
      </c>
      <c r="F274" s="129"/>
      <c r="G274" s="130" t="str">
        <f>IF($O$100="","",$O$100)</f>
        <v/>
      </c>
    </row>
    <row r="275" spans="2:17" hidden="1" outlineLevel="1">
      <c r="D275" s="52">
        <v>2</v>
      </c>
      <c r="E275" s="312" t="s">
        <v>292</v>
      </c>
      <c r="F275" s="57" t="s">
        <v>241</v>
      </c>
      <c r="G275" s="144"/>
    </row>
    <row r="276" spans="2:17" ht="33" hidden="1" outlineLevel="1">
      <c r="D276" s="52">
        <v>3</v>
      </c>
      <c r="E276" s="312" t="s">
        <v>277</v>
      </c>
      <c r="F276" s="30" t="s">
        <v>241</v>
      </c>
      <c r="G276" s="141"/>
      <c r="K276" s="375" t="s">
        <v>278</v>
      </c>
      <c r="L276" s="375"/>
      <c r="M276" s="375"/>
      <c r="N276" s="375"/>
      <c r="O276" s="196"/>
      <c r="P276" s="195" t="s">
        <v>279</v>
      </c>
      <c r="Q276" s="50" t="s">
        <v>280</v>
      </c>
    </row>
    <row r="277" spans="2:17" hidden="1" outlineLevel="1">
      <c r="D277" s="52">
        <v>4</v>
      </c>
      <c r="E277" s="293" t="s">
        <v>281</v>
      </c>
      <c r="F277" s="19" t="s">
        <v>241</v>
      </c>
      <c r="G277" s="141"/>
      <c r="H277" s="6"/>
      <c r="K277" s="375"/>
      <c r="L277" s="375"/>
      <c r="M277" s="375"/>
      <c r="N277" s="375"/>
      <c r="O277" s="125" t="s">
        <v>282</v>
      </c>
      <c r="P277" s="131" t="str">
        <f>IF(AND(COUNTA($G284:$Q284)&gt;0,SUMIF($G284:$Q284,"&lt;&gt;"&amp;"")=0),"－",IFERROR(((HLOOKUP(EDATE($F$13,36),$G281:$Q289,6,FALSE))/(HLOOKUP(EDATE($F$13,0),$G281:$Q289,6,FALSE)))^(1/3)-1,""))</f>
        <v/>
      </c>
      <c r="Q277" s="376">
        <v>4.4999999999999998E-2</v>
      </c>
    </row>
    <row r="278" spans="2:17" ht="36" hidden="1" outlineLevel="1">
      <c r="D278" s="52">
        <v>5</v>
      </c>
      <c r="E278" s="293" t="s">
        <v>283</v>
      </c>
      <c r="F278" s="19" t="s">
        <v>256</v>
      </c>
      <c r="G278" s="315"/>
      <c r="H278" s="6"/>
      <c r="K278" s="375"/>
      <c r="L278" s="375"/>
      <c r="M278" s="375"/>
      <c r="N278" s="375"/>
      <c r="O278" s="125" t="s">
        <v>284</v>
      </c>
      <c r="P278" s="125" t="str">
        <f>IF(AND(COUNTA($G285:$Q285)&gt;0,SUMIF($G285:$Q285,"&lt;&gt;"&amp;"")=0),"－",IFERROR(((HLOOKUP(EDATE($F$13,36),$G281:$Q289,8,FALSE))/(HLOOKUP(EDATE($F$13,0),$G281:$Q289,8,FALSE)))^(1/3)-1,""))</f>
        <v/>
      </c>
      <c r="Q278" s="377"/>
    </row>
    <row r="279" spans="2:17" hidden="1" outlineLevel="1">
      <c r="D279" s="35"/>
      <c r="E279" s="316" t="s">
        <v>257</v>
      </c>
      <c r="F279" s="34"/>
      <c r="G279" s="1" t="s">
        <v>179</v>
      </c>
    </row>
    <row r="280" spans="2:17" hidden="1" outlineLevel="1">
      <c r="E280" s="308"/>
      <c r="G280" s="64" t="s">
        <v>181</v>
      </c>
      <c r="H280" s="64" t="s">
        <v>182</v>
      </c>
      <c r="I280" s="64" t="s">
        <v>183</v>
      </c>
      <c r="J280" s="132" t="s">
        <v>184</v>
      </c>
      <c r="K280" s="132"/>
      <c r="L280" s="132"/>
      <c r="M280" s="132"/>
      <c r="N280" s="132"/>
      <c r="O280" s="132"/>
      <c r="P280" s="132"/>
      <c r="Q280" s="132"/>
    </row>
    <row r="281" spans="2:17" hidden="1" outlineLevel="1">
      <c r="D281" s="11"/>
      <c r="E281" s="206"/>
      <c r="F281" s="56"/>
      <c r="G281" s="63" t="str">
        <f>IF($I281="","",EDATE(H281,-12))</f>
        <v/>
      </c>
      <c r="H281" s="63" t="str">
        <f>IF($I281="","",EDATE(I281,-12))</f>
        <v/>
      </c>
      <c r="I281" s="63" t="str">
        <f>IF($I$12="","",$I$12)</f>
        <v/>
      </c>
      <c r="J281" s="63" t="str">
        <f t="shared" ref="J281:Q281" si="64">IF($I281="","",EDATE(I281,12))</f>
        <v/>
      </c>
      <c r="K281" s="63" t="str">
        <f t="shared" si="64"/>
        <v/>
      </c>
      <c r="L281" s="63" t="str">
        <f t="shared" si="64"/>
        <v/>
      </c>
      <c r="M281" s="63" t="str">
        <f t="shared" si="64"/>
        <v/>
      </c>
      <c r="N281" s="63" t="str">
        <f t="shared" si="64"/>
        <v/>
      </c>
      <c r="O281" s="63" t="str">
        <f t="shared" si="64"/>
        <v/>
      </c>
      <c r="P281" s="63" t="str">
        <f t="shared" si="64"/>
        <v/>
      </c>
      <c r="Q281" s="63" t="str">
        <f t="shared" si="64"/>
        <v/>
      </c>
    </row>
    <row r="282" spans="2:17" hidden="1" outlineLevel="1">
      <c r="D282" s="52">
        <v>6</v>
      </c>
      <c r="E282" s="293" t="s">
        <v>206</v>
      </c>
      <c r="F282" s="55"/>
      <c r="G282" s="138"/>
      <c r="H282" s="138"/>
      <c r="I282" s="138"/>
      <c r="J282" s="138"/>
      <c r="K282" s="138"/>
      <c r="L282" s="138"/>
      <c r="M282" s="138"/>
      <c r="N282" s="138"/>
      <c r="O282" s="138"/>
      <c r="P282" s="106"/>
      <c r="Q282" s="106"/>
    </row>
    <row r="283" spans="2:17" hidden="1" outlineLevel="1">
      <c r="C283" s="9"/>
      <c r="D283" s="52">
        <v>7</v>
      </c>
      <c r="E283" s="293" t="s">
        <v>207</v>
      </c>
      <c r="F283" s="55"/>
      <c r="G283" s="138"/>
      <c r="H283" s="106"/>
      <c r="I283" s="139"/>
      <c r="J283" s="106"/>
      <c r="K283" s="106"/>
      <c r="L283" s="154"/>
      <c r="M283" s="106"/>
      <c r="N283" s="106"/>
      <c r="O283" s="106"/>
      <c r="P283" s="106"/>
      <c r="Q283" s="106"/>
    </row>
    <row r="284" spans="2:17" hidden="1" outlineLevel="1">
      <c r="C284" s="9"/>
      <c r="D284" s="5">
        <v>8</v>
      </c>
      <c r="E284" s="303" t="s">
        <v>210</v>
      </c>
      <c r="F284" s="20" t="s">
        <v>211</v>
      </c>
      <c r="G284" s="306"/>
      <c r="H284" s="306"/>
      <c r="I284" s="306"/>
      <c r="J284" s="306"/>
      <c r="K284" s="306"/>
      <c r="L284" s="306"/>
      <c r="M284" s="306"/>
      <c r="N284" s="306"/>
      <c r="O284" s="306"/>
      <c r="P284" s="229"/>
      <c r="Q284" s="229"/>
    </row>
    <row r="285" spans="2:17" hidden="1" outlineLevel="1">
      <c r="C285" s="9"/>
      <c r="D285" s="52">
        <v>9</v>
      </c>
      <c r="E285" s="293" t="s">
        <v>212</v>
      </c>
      <c r="F285" s="55" t="s">
        <v>287</v>
      </c>
      <c r="G285" s="306"/>
      <c r="H285" s="229"/>
      <c r="I285" s="307"/>
      <c r="J285" s="229"/>
      <c r="K285" s="229"/>
      <c r="L285" s="229"/>
      <c r="M285" s="229"/>
      <c r="N285" s="229"/>
      <c r="O285" s="229"/>
      <c r="P285" s="229"/>
      <c r="Q285" s="229"/>
    </row>
    <row r="286" spans="2:17" hidden="1" outlineLevel="1">
      <c r="C286" s="9"/>
      <c r="D286" s="7">
        <v>10</v>
      </c>
      <c r="E286" s="310" t="s">
        <v>213</v>
      </c>
      <c r="F286" s="22"/>
      <c r="G286" s="12" t="str">
        <f>IFERROR(+G282/G284,"")</f>
        <v/>
      </c>
      <c r="H286" s="13" t="str">
        <f>IFERROR(+H282/H284,"")</f>
        <v/>
      </c>
      <c r="I286" s="16" t="str">
        <f t="shared" ref="I286:Q286" si="65">IFERROR(+I282/I284,"")</f>
        <v/>
      </c>
      <c r="J286" s="13" t="str">
        <f t="shared" si="65"/>
        <v/>
      </c>
      <c r="K286" s="13" t="str">
        <f t="shared" si="65"/>
        <v/>
      </c>
      <c r="L286" s="13" t="str">
        <f t="shared" si="65"/>
        <v/>
      </c>
      <c r="M286" s="13" t="str">
        <f t="shared" si="65"/>
        <v/>
      </c>
      <c r="N286" s="13" t="str">
        <f t="shared" si="65"/>
        <v/>
      </c>
      <c r="O286" s="13" t="str">
        <f t="shared" si="65"/>
        <v/>
      </c>
      <c r="P286" s="13" t="str">
        <f t="shared" si="65"/>
        <v/>
      </c>
      <c r="Q286" s="13" t="str">
        <f t="shared" si="65"/>
        <v/>
      </c>
    </row>
    <row r="287" spans="2:17" hidden="1" outlineLevel="1">
      <c r="C287" s="9"/>
      <c r="D287" s="7">
        <v>11</v>
      </c>
      <c r="E287" s="310" t="s">
        <v>214</v>
      </c>
      <c r="F287" s="22" t="s">
        <v>215</v>
      </c>
      <c r="G287" s="14"/>
      <c r="H287" s="48" t="str">
        <f t="shared" ref="H287:Q287" si="66">IFERROR((H286-G286)/G286,"")</f>
        <v/>
      </c>
      <c r="I287" s="49" t="str">
        <f t="shared" si="66"/>
        <v/>
      </c>
      <c r="J287" s="48" t="str">
        <f t="shared" si="66"/>
        <v/>
      </c>
      <c r="K287" s="48" t="str">
        <f>IFERROR((K286-J286)/J286,"")</f>
        <v/>
      </c>
      <c r="L287" s="48" t="str">
        <f t="shared" si="66"/>
        <v/>
      </c>
      <c r="M287" s="48" t="str">
        <f t="shared" si="66"/>
        <v/>
      </c>
      <c r="N287" s="48" t="str">
        <f t="shared" si="66"/>
        <v/>
      </c>
      <c r="O287" s="48" t="str">
        <f t="shared" si="66"/>
        <v/>
      </c>
      <c r="P287" s="48" t="str">
        <f t="shared" si="66"/>
        <v/>
      </c>
      <c r="Q287" s="48" t="str">
        <f t="shared" si="66"/>
        <v/>
      </c>
    </row>
    <row r="288" spans="2:17" hidden="1" outlineLevel="1">
      <c r="C288" s="9"/>
      <c r="D288" s="7">
        <v>12</v>
      </c>
      <c r="E288" s="310" t="s">
        <v>216</v>
      </c>
      <c r="F288" s="21"/>
      <c r="G288" s="70" t="str">
        <f t="shared" ref="G288:Q288" si="67">IFERROR(+G283/G285,"")</f>
        <v/>
      </c>
      <c r="H288" s="71" t="str">
        <f t="shared" si="67"/>
        <v/>
      </c>
      <c r="I288" s="71" t="str">
        <f t="shared" si="67"/>
        <v/>
      </c>
      <c r="J288" s="71" t="str">
        <f t="shared" si="67"/>
        <v/>
      </c>
      <c r="K288" s="71" t="str">
        <f t="shared" si="67"/>
        <v/>
      </c>
      <c r="L288" s="71" t="str">
        <f t="shared" si="67"/>
        <v/>
      </c>
      <c r="M288" s="71" t="str">
        <f t="shared" si="67"/>
        <v/>
      </c>
      <c r="N288" s="71" t="str">
        <f t="shared" si="67"/>
        <v/>
      </c>
      <c r="O288" s="71" t="str">
        <f t="shared" si="67"/>
        <v/>
      </c>
      <c r="P288" s="71" t="str">
        <f t="shared" si="67"/>
        <v/>
      </c>
      <c r="Q288" s="71" t="str">
        <f t="shared" si="67"/>
        <v/>
      </c>
    </row>
    <row r="289" spans="2:17" hidden="1" outlineLevel="1">
      <c r="D289" s="7">
        <v>13</v>
      </c>
      <c r="E289" s="310" t="s">
        <v>217</v>
      </c>
      <c r="F289" s="21" t="s">
        <v>218</v>
      </c>
      <c r="G289" s="14"/>
      <c r="H289" s="48" t="str">
        <f t="shared" ref="H289:Q289" si="68">IFERROR((H288-G288)/G288,"")</f>
        <v/>
      </c>
      <c r="I289" s="49" t="str">
        <f t="shared" si="68"/>
        <v/>
      </c>
      <c r="J289" s="48" t="str">
        <f t="shared" si="68"/>
        <v/>
      </c>
      <c r="K289" s="48" t="str">
        <f t="shared" si="68"/>
        <v/>
      </c>
      <c r="L289" s="48" t="str">
        <f t="shared" si="68"/>
        <v/>
      </c>
      <c r="M289" s="48" t="str">
        <f t="shared" si="68"/>
        <v/>
      </c>
      <c r="N289" s="48" t="str">
        <f t="shared" si="68"/>
        <v/>
      </c>
      <c r="O289" s="48" t="str">
        <f t="shared" si="68"/>
        <v/>
      </c>
      <c r="P289" s="48" t="str">
        <f t="shared" si="68"/>
        <v/>
      </c>
      <c r="Q289" s="48" t="str">
        <f t="shared" si="68"/>
        <v/>
      </c>
    </row>
    <row r="290" spans="2:17" collapsed="1">
      <c r="E290" s="314"/>
    </row>
    <row r="291" spans="2:17" ht="18.5" thickBot="1">
      <c r="B291" s="69"/>
      <c r="C291" s="46" t="s">
        <v>297</v>
      </c>
      <c r="D291" s="4"/>
      <c r="E291" s="308"/>
      <c r="F291" s="240" t="str">
        <f>IF(G292="","","折りたたまれたセルのグループ（非表示行）を展開して、入力項目を入力してください。")</f>
        <v/>
      </c>
      <c r="L291" s="51"/>
    </row>
    <row r="292" spans="2:17" ht="50.15" customHeight="1" thickBot="1">
      <c r="D292" s="128">
        <v>1</v>
      </c>
      <c r="E292" s="311" t="s">
        <v>275</v>
      </c>
      <c r="F292" s="129"/>
      <c r="G292" s="130" t="str">
        <f>IF($P$100="","",$P$100)</f>
        <v/>
      </c>
    </row>
    <row r="293" spans="2:17" hidden="1" outlineLevel="1">
      <c r="D293" s="52">
        <v>2</v>
      </c>
      <c r="E293" s="312" t="s">
        <v>292</v>
      </c>
      <c r="F293" s="57" t="s">
        <v>241</v>
      </c>
      <c r="G293" s="144"/>
    </row>
    <row r="294" spans="2:17" ht="33" hidden="1" outlineLevel="1">
      <c r="D294" s="52">
        <v>3</v>
      </c>
      <c r="E294" s="312" t="s">
        <v>277</v>
      </c>
      <c r="F294" s="30" t="s">
        <v>241</v>
      </c>
      <c r="G294" s="141"/>
      <c r="K294" s="375" t="s">
        <v>278</v>
      </c>
      <c r="L294" s="375"/>
      <c r="M294" s="375"/>
      <c r="N294" s="375"/>
      <c r="O294" s="196"/>
      <c r="P294" s="195" t="s">
        <v>279</v>
      </c>
      <c r="Q294" s="50" t="s">
        <v>280</v>
      </c>
    </row>
    <row r="295" spans="2:17" hidden="1" outlineLevel="1">
      <c r="D295" s="52">
        <v>4</v>
      </c>
      <c r="E295" s="293" t="s">
        <v>281</v>
      </c>
      <c r="F295" s="19" t="s">
        <v>241</v>
      </c>
      <c r="G295" s="141"/>
      <c r="H295" s="6"/>
      <c r="K295" s="375"/>
      <c r="L295" s="375"/>
      <c r="M295" s="375"/>
      <c r="N295" s="375"/>
      <c r="O295" s="125" t="s">
        <v>282</v>
      </c>
      <c r="P295" s="131" t="str">
        <f>IF(AND(COUNTA($G302:$Q302)&gt;0,SUMIF($G302:$Q302,"&lt;&gt;"&amp;"")=0),"－",IFERROR(((HLOOKUP(EDATE($F$13,36),$G299:$Q307,6,FALSE))/(HLOOKUP(EDATE($F$13,0),$G299:$Q307,6,FALSE)))^(1/3)-1,""))</f>
        <v/>
      </c>
      <c r="Q295" s="376">
        <v>4.4999999999999998E-2</v>
      </c>
    </row>
    <row r="296" spans="2:17" ht="36" hidden="1" outlineLevel="1">
      <c r="D296" s="52">
        <v>5</v>
      </c>
      <c r="E296" s="293" t="s">
        <v>283</v>
      </c>
      <c r="F296" s="19" t="s">
        <v>256</v>
      </c>
      <c r="G296" s="315"/>
      <c r="H296" s="6"/>
      <c r="K296" s="375"/>
      <c r="L296" s="375"/>
      <c r="M296" s="375"/>
      <c r="N296" s="375"/>
      <c r="O296" s="125" t="s">
        <v>284</v>
      </c>
      <c r="P296" s="125" t="str">
        <f>IF(AND(COUNTA($G303:$Q303)&gt;0,SUMIF($G303:$Q303,"&lt;&gt;"&amp;"")=0),"－",IFERROR(((HLOOKUP(EDATE($F$13,36),$G299:$Q307,8,FALSE))/(HLOOKUP(EDATE($F$13,0),$G299:$Q307,8,FALSE)))^(1/3)-1,""))</f>
        <v/>
      </c>
      <c r="Q296" s="377"/>
    </row>
    <row r="297" spans="2:17" hidden="1" outlineLevel="1">
      <c r="D297" s="35"/>
      <c r="E297" s="316" t="s">
        <v>257</v>
      </c>
      <c r="F297" s="34"/>
      <c r="G297" s="1" t="s">
        <v>179</v>
      </c>
    </row>
    <row r="298" spans="2:17" hidden="1" outlineLevel="1">
      <c r="E298" s="308"/>
      <c r="G298" s="64" t="s">
        <v>181</v>
      </c>
      <c r="H298" s="64" t="s">
        <v>182</v>
      </c>
      <c r="I298" s="64" t="s">
        <v>183</v>
      </c>
      <c r="J298" s="132" t="s">
        <v>184</v>
      </c>
      <c r="K298" s="132"/>
      <c r="L298" s="132"/>
      <c r="M298" s="132"/>
      <c r="N298" s="132"/>
      <c r="O298" s="132"/>
      <c r="P298" s="132"/>
      <c r="Q298" s="132"/>
    </row>
    <row r="299" spans="2:17" hidden="1" outlineLevel="1">
      <c r="D299" s="11"/>
      <c r="E299" s="206"/>
      <c r="F299" s="56"/>
      <c r="G299" s="63" t="str">
        <f>IF($I299="","",EDATE(H299,-12))</f>
        <v/>
      </c>
      <c r="H299" s="63" t="str">
        <f>IF($I299="","",EDATE(I299,-12))</f>
        <v/>
      </c>
      <c r="I299" s="63" t="str">
        <f>IF($I$12="","",$I$12)</f>
        <v/>
      </c>
      <c r="J299" s="63" t="str">
        <f t="shared" ref="J299:Q299" si="69">IF($I299="","",EDATE(I299,12))</f>
        <v/>
      </c>
      <c r="K299" s="63" t="str">
        <f t="shared" si="69"/>
        <v/>
      </c>
      <c r="L299" s="63" t="str">
        <f t="shared" si="69"/>
        <v/>
      </c>
      <c r="M299" s="63" t="str">
        <f t="shared" si="69"/>
        <v/>
      </c>
      <c r="N299" s="63" t="str">
        <f t="shared" si="69"/>
        <v/>
      </c>
      <c r="O299" s="63" t="str">
        <f t="shared" si="69"/>
        <v/>
      </c>
      <c r="P299" s="63" t="str">
        <f t="shared" si="69"/>
        <v/>
      </c>
      <c r="Q299" s="63" t="str">
        <f t="shared" si="69"/>
        <v/>
      </c>
    </row>
    <row r="300" spans="2:17" hidden="1" outlineLevel="1">
      <c r="D300" s="52">
        <v>6</v>
      </c>
      <c r="E300" s="293" t="s">
        <v>206</v>
      </c>
      <c r="F300" s="55"/>
      <c r="G300" s="138"/>
      <c r="H300" s="138"/>
      <c r="I300" s="138"/>
      <c r="J300" s="138"/>
      <c r="K300" s="138"/>
      <c r="L300" s="138"/>
      <c r="M300" s="138"/>
      <c r="N300" s="138"/>
      <c r="O300" s="138"/>
      <c r="P300" s="106"/>
      <c r="Q300" s="106"/>
    </row>
    <row r="301" spans="2:17" hidden="1" outlineLevel="1">
      <c r="C301" s="9"/>
      <c r="D301" s="52">
        <v>7</v>
      </c>
      <c r="E301" s="293" t="s">
        <v>207</v>
      </c>
      <c r="F301" s="55"/>
      <c r="G301" s="138"/>
      <c r="H301" s="106"/>
      <c r="I301" s="139"/>
      <c r="J301" s="106"/>
      <c r="K301" s="106"/>
      <c r="L301" s="154"/>
      <c r="M301" s="106"/>
      <c r="N301" s="106"/>
      <c r="O301" s="106"/>
      <c r="P301" s="106"/>
      <c r="Q301" s="106"/>
    </row>
    <row r="302" spans="2:17" hidden="1" outlineLevel="1">
      <c r="C302" s="9"/>
      <c r="D302" s="5">
        <v>8</v>
      </c>
      <c r="E302" s="303" t="s">
        <v>210</v>
      </c>
      <c r="F302" s="20" t="s">
        <v>211</v>
      </c>
      <c r="G302" s="306"/>
      <c r="H302" s="306"/>
      <c r="I302" s="306"/>
      <c r="J302" s="306"/>
      <c r="K302" s="306"/>
      <c r="L302" s="306"/>
      <c r="M302" s="306"/>
      <c r="N302" s="306"/>
      <c r="O302" s="306"/>
      <c r="P302" s="229"/>
      <c r="Q302" s="229"/>
    </row>
    <row r="303" spans="2:17" hidden="1" outlineLevel="1">
      <c r="C303" s="9"/>
      <c r="D303" s="52">
        <v>9</v>
      </c>
      <c r="E303" s="293" t="s">
        <v>212</v>
      </c>
      <c r="F303" s="55" t="s">
        <v>287</v>
      </c>
      <c r="G303" s="306"/>
      <c r="H303" s="229"/>
      <c r="I303" s="307"/>
      <c r="J303" s="229"/>
      <c r="K303" s="229"/>
      <c r="L303" s="229"/>
      <c r="M303" s="229"/>
      <c r="N303" s="229"/>
      <c r="O303" s="229"/>
      <c r="P303" s="229"/>
      <c r="Q303" s="229"/>
    </row>
    <row r="304" spans="2:17" hidden="1" outlineLevel="1">
      <c r="C304" s="9"/>
      <c r="D304" s="7">
        <v>10</v>
      </c>
      <c r="E304" s="310" t="s">
        <v>213</v>
      </c>
      <c r="F304" s="22"/>
      <c r="G304" s="12" t="str">
        <f>IFERROR(+G300/G302,"")</f>
        <v/>
      </c>
      <c r="H304" s="13" t="str">
        <f>IFERROR(+H300/H302,"")</f>
        <v/>
      </c>
      <c r="I304" s="16" t="str">
        <f t="shared" ref="I304:Q304" si="70">IFERROR(+I300/I302,"")</f>
        <v/>
      </c>
      <c r="J304" s="13" t="str">
        <f t="shared" si="70"/>
        <v/>
      </c>
      <c r="K304" s="13" t="str">
        <f t="shared" si="70"/>
        <v/>
      </c>
      <c r="L304" s="13" t="str">
        <f t="shared" si="70"/>
        <v/>
      </c>
      <c r="M304" s="13" t="str">
        <f t="shared" si="70"/>
        <v/>
      </c>
      <c r="N304" s="13" t="str">
        <f t="shared" si="70"/>
        <v/>
      </c>
      <c r="O304" s="13" t="str">
        <f t="shared" si="70"/>
        <v/>
      </c>
      <c r="P304" s="13" t="str">
        <f t="shared" si="70"/>
        <v/>
      </c>
      <c r="Q304" s="13" t="str">
        <f t="shared" si="70"/>
        <v/>
      </c>
    </row>
    <row r="305" spans="2:17" hidden="1" outlineLevel="1">
      <c r="C305" s="9"/>
      <c r="D305" s="7">
        <v>11</v>
      </c>
      <c r="E305" s="310" t="s">
        <v>214</v>
      </c>
      <c r="F305" s="22" t="s">
        <v>215</v>
      </c>
      <c r="G305" s="14"/>
      <c r="H305" s="48" t="str">
        <f t="shared" ref="H305:Q305" si="71">IFERROR((H304-G304)/G304,"")</f>
        <v/>
      </c>
      <c r="I305" s="49" t="str">
        <f t="shared" si="71"/>
        <v/>
      </c>
      <c r="J305" s="48" t="str">
        <f t="shared" si="71"/>
        <v/>
      </c>
      <c r="K305" s="48" t="str">
        <f>IFERROR((K304-J304)/J304,"")</f>
        <v/>
      </c>
      <c r="L305" s="48" t="str">
        <f t="shared" si="71"/>
        <v/>
      </c>
      <c r="M305" s="48" t="str">
        <f t="shared" si="71"/>
        <v/>
      </c>
      <c r="N305" s="48" t="str">
        <f t="shared" si="71"/>
        <v/>
      </c>
      <c r="O305" s="48" t="str">
        <f t="shared" si="71"/>
        <v/>
      </c>
      <c r="P305" s="48" t="str">
        <f t="shared" si="71"/>
        <v/>
      </c>
      <c r="Q305" s="48" t="str">
        <f t="shared" si="71"/>
        <v/>
      </c>
    </row>
    <row r="306" spans="2:17" hidden="1" outlineLevel="1">
      <c r="C306" s="9"/>
      <c r="D306" s="7">
        <v>12</v>
      </c>
      <c r="E306" s="310" t="s">
        <v>216</v>
      </c>
      <c r="F306" s="21"/>
      <c r="G306" s="70" t="str">
        <f t="shared" ref="G306:Q306" si="72">IFERROR(+G301/G303,"")</f>
        <v/>
      </c>
      <c r="H306" s="71" t="str">
        <f t="shared" si="72"/>
        <v/>
      </c>
      <c r="I306" s="71" t="str">
        <f t="shared" si="72"/>
        <v/>
      </c>
      <c r="J306" s="71" t="str">
        <f t="shared" si="72"/>
        <v/>
      </c>
      <c r="K306" s="71" t="str">
        <f t="shared" si="72"/>
        <v/>
      </c>
      <c r="L306" s="71" t="str">
        <f t="shared" si="72"/>
        <v/>
      </c>
      <c r="M306" s="71" t="str">
        <f t="shared" si="72"/>
        <v/>
      </c>
      <c r="N306" s="71" t="str">
        <f t="shared" si="72"/>
        <v/>
      </c>
      <c r="O306" s="71" t="str">
        <f t="shared" si="72"/>
        <v/>
      </c>
      <c r="P306" s="71" t="str">
        <f t="shared" si="72"/>
        <v/>
      </c>
      <c r="Q306" s="71" t="str">
        <f t="shared" si="72"/>
        <v/>
      </c>
    </row>
    <row r="307" spans="2:17" hidden="1" outlineLevel="1">
      <c r="D307" s="7">
        <v>13</v>
      </c>
      <c r="E307" s="310" t="s">
        <v>217</v>
      </c>
      <c r="F307" s="21" t="s">
        <v>218</v>
      </c>
      <c r="G307" s="14"/>
      <c r="H307" s="48" t="str">
        <f t="shared" ref="H307:Q307" si="73">IFERROR((H306-G306)/G306,"")</f>
        <v/>
      </c>
      <c r="I307" s="49" t="str">
        <f t="shared" si="73"/>
        <v/>
      </c>
      <c r="J307" s="48" t="str">
        <f t="shared" si="73"/>
        <v/>
      </c>
      <c r="K307" s="48" t="str">
        <f t="shared" si="73"/>
        <v/>
      </c>
      <c r="L307" s="48" t="str">
        <f t="shared" si="73"/>
        <v/>
      </c>
      <c r="M307" s="48" t="str">
        <f t="shared" si="73"/>
        <v/>
      </c>
      <c r="N307" s="48" t="str">
        <f t="shared" si="73"/>
        <v/>
      </c>
      <c r="O307" s="48" t="str">
        <f t="shared" si="73"/>
        <v/>
      </c>
      <c r="P307" s="48" t="str">
        <f t="shared" si="73"/>
        <v/>
      </c>
      <c r="Q307" s="48" t="str">
        <f t="shared" si="73"/>
        <v/>
      </c>
    </row>
    <row r="308" spans="2:17" collapsed="1">
      <c r="E308" s="314"/>
    </row>
    <row r="309" spans="2:17" ht="18.5" thickBot="1">
      <c r="B309" s="69"/>
      <c r="C309" s="46" t="s">
        <v>298</v>
      </c>
      <c r="D309" s="4"/>
      <c r="E309" s="308"/>
      <c r="F309" s="240" t="str">
        <f>IF(G310="","","折りたたまれたセルのグループ（非表示行）を展開して、入力項目を入力してください。")</f>
        <v/>
      </c>
      <c r="L309" s="51"/>
    </row>
    <row r="310" spans="2:17" ht="50.15" customHeight="1" thickBot="1">
      <c r="D310" s="128">
        <v>1</v>
      </c>
      <c r="E310" s="311" t="s">
        <v>275</v>
      </c>
      <c r="F310" s="129"/>
      <c r="G310" s="130" t="str">
        <f>IF($G$102="","",$G$102)</f>
        <v/>
      </c>
    </row>
    <row r="311" spans="2:17" hidden="1" outlineLevel="1">
      <c r="D311" s="52">
        <v>2</v>
      </c>
      <c r="E311" s="312" t="s">
        <v>292</v>
      </c>
      <c r="F311" s="57" t="s">
        <v>241</v>
      </c>
      <c r="G311" s="144"/>
    </row>
    <row r="312" spans="2:17" ht="33" hidden="1" outlineLevel="1">
      <c r="D312" s="52">
        <v>3</v>
      </c>
      <c r="E312" s="312" t="s">
        <v>277</v>
      </c>
      <c r="F312" s="30" t="s">
        <v>241</v>
      </c>
      <c r="G312" s="141"/>
      <c r="K312" s="375" t="s">
        <v>278</v>
      </c>
      <c r="L312" s="375"/>
      <c r="M312" s="375"/>
      <c r="N312" s="375"/>
      <c r="O312" s="196"/>
      <c r="P312" s="195" t="s">
        <v>279</v>
      </c>
      <c r="Q312" s="50" t="s">
        <v>280</v>
      </c>
    </row>
    <row r="313" spans="2:17" hidden="1" outlineLevel="1">
      <c r="D313" s="52">
        <v>4</v>
      </c>
      <c r="E313" s="293" t="s">
        <v>281</v>
      </c>
      <c r="F313" s="19" t="s">
        <v>241</v>
      </c>
      <c r="G313" s="141"/>
      <c r="H313" s="6"/>
      <c r="K313" s="375"/>
      <c r="L313" s="375"/>
      <c r="M313" s="375"/>
      <c r="N313" s="375"/>
      <c r="O313" s="125" t="s">
        <v>282</v>
      </c>
      <c r="P313" s="131" t="str">
        <f>IF(AND(COUNTA($G320:$Q320)&gt;0,SUMIF($G320:$Q320,"&lt;&gt;"&amp;"")=0),"－",IFERROR(((HLOOKUP(EDATE($F$13,36),$G317:$Q325,6,FALSE))/(HLOOKUP(EDATE($F$13,0),$G317:$Q325,6,FALSE)))^(1/3)-1,""))</f>
        <v/>
      </c>
      <c r="Q313" s="376">
        <v>4.4999999999999998E-2</v>
      </c>
    </row>
    <row r="314" spans="2:17" ht="36" hidden="1" outlineLevel="1">
      <c r="D314" s="52">
        <v>5</v>
      </c>
      <c r="E314" s="293" t="s">
        <v>283</v>
      </c>
      <c r="F314" s="19" t="s">
        <v>256</v>
      </c>
      <c r="G314" s="315"/>
      <c r="H314" s="6"/>
      <c r="K314" s="375"/>
      <c r="L314" s="375"/>
      <c r="M314" s="375"/>
      <c r="N314" s="375"/>
      <c r="O314" s="125" t="s">
        <v>284</v>
      </c>
      <c r="P314" s="125" t="str">
        <f>IF(AND(COUNTA($G321:$Q321)&gt;0,SUMIF($G321:$Q321,"&lt;&gt;"&amp;"")=0),"－",IFERROR(((HLOOKUP(EDATE($F$13,36),$G317:$Q325,8,FALSE))/(HLOOKUP(EDATE($F$13,0),$G317:$Q325,8,FALSE)))^(1/3)-1,""))</f>
        <v/>
      </c>
      <c r="Q314" s="377"/>
    </row>
    <row r="315" spans="2:17" hidden="1" outlineLevel="1">
      <c r="D315" s="35"/>
      <c r="E315" s="316" t="s">
        <v>257</v>
      </c>
      <c r="F315" s="34"/>
      <c r="G315" s="1" t="s">
        <v>179</v>
      </c>
    </row>
    <row r="316" spans="2:17" hidden="1" outlineLevel="1">
      <c r="E316" s="308"/>
      <c r="G316" s="64" t="s">
        <v>181</v>
      </c>
      <c r="H316" s="64" t="s">
        <v>182</v>
      </c>
      <c r="I316" s="64" t="s">
        <v>183</v>
      </c>
      <c r="J316" s="132" t="s">
        <v>184</v>
      </c>
      <c r="K316" s="132"/>
      <c r="L316" s="132"/>
      <c r="M316" s="132"/>
      <c r="N316" s="132"/>
      <c r="O316" s="132"/>
      <c r="P316" s="132"/>
      <c r="Q316" s="132"/>
    </row>
    <row r="317" spans="2:17" hidden="1" outlineLevel="1">
      <c r="D317" s="11"/>
      <c r="E317" s="206"/>
      <c r="F317" s="56"/>
      <c r="G317" s="63" t="str">
        <f>IF($I317="","",EDATE(H317,-12))</f>
        <v/>
      </c>
      <c r="H317" s="63" t="str">
        <f>IF($I317="","",EDATE(I317,-12))</f>
        <v/>
      </c>
      <c r="I317" s="63" t="str">
        <f>IF($I$12="","",$I$12)</f>
        <v/>
      </c>
      <c r="J317" s="63" t="str">
        <f t="shared" ref="J317:Q317" si="74">IF($I317="","",EDATE(I317,12))</f>
        <v/>
      </c>
      <c r="K317" s="63" t="str">
        <f t="shared" si="74"/>
        <v/>
      </c>
      <c r="L317" s="63" t="str">
        <f t="shared" si="74"/>
        <v/>
      </c>
      <c r="M317" s="63" t="str">
        <f t="shared" si="74"/>
        <v/>
      </c>
      <c r="N317" s="63" t="str">
        <f t="shared" si="74"/>
        <v/>
      </c>
      <c r="O317" s="63" t="str">
        <f t="shared" si="74"/>
        <v/>
      </c>
      <c r="P317" s="63" t="str">
        <f t="shared" si="74"/>
        <v/>
      </c>
      <c r="Q317" s="63" t="str">
        <f t="shared" si="74"/>
        <v/>
      </c>
    </row>
    <row r="318" spans="2:17" hidden="1" outlineLevel="1">
      <c r="D318" s="52">
        <v>6</v>
      </c>
      <c r="E318" s="293" t="s">
        <v>206</v>
      </c>
      <c r="F318" s="55"/>
      <c r="G318" s="138"/>
      <c r="H318" s="138"/>
      <c r="I318" s="138"/>
      <c r="J318" s="138"/>
      <c r="K318" s="138"/>
      <c r="L318" s="138"/>
      <c r="M318" s="138"/>
      <c r="N318" s="138"/>
      <c r="O318" s="138"/>
      <c r="P318" s="106"/>
      <c r="Q318" s="106"/>
    </row>
    <row r="319" spans="2:17" hidden="1" outlineLevel="1">
      <c r="C319" s="9"/>
      <c r="D319" s="52">
        <v>7</v>
      </c>
      <c r="E319" s="293" t="s">
        <v>207</v>
      </c>
      <c r="F319" s="55"/>
      <c r="G319" s="138"/>
      <c r="H319" s="106"/>
      <c r="I319" s="139"/>
      <c r="J319" s="106"/>
      <c r="K319" s="106"/>
      <c r="L319" s="154"/>
      <c r="M319" s="106"/>
      <c r="N319" s="106"/>
      <c r="O319" s="106"/>
      <c r="P319" s="106"/>
      <c r="Q319" s="106"/>
    </row>
    <row r="320" spans="2:17" hidden="1" outlineLevel="1">
      <c r="C320" s="9"/>
      <c r="D320" s="5">
        <v>8</v>
      </c>
      <c r="E320" s="303" t="s">
        <v>210</v>
      </c>
      <c r="F320" s="20" t="s">
        <v>211</v>
      </c>
      <c r="G320" s="306"/>
      <c r="H320" s="306"/>
      <c r="I320" s="306"/>
      <c r="J320" s="306"/>
      <c r="K320" s="306"/>
      <c r="L320" s="306"/>
      <c r="M320" s="306"/>
      <c r="N320" s="306"/>
      <c r="O320" s="306"/>
      <c r="P320" s="229"/>
      <c r="Q320" s="229"/>
    </row>
    <row r="321" spans="2:17" hidden="1" outlineLevel="1">
      <c r="C321" s="9"/>
      <c r="D321" s="52">
        <v>9</v>
      </c>
      <c r="E321" s="293" t="s">
        <v>212</v>
      </c>
      <c r="F321" s="55" t="s">
        <v>287</v>
      </c>
      <c r="G321" s="306"/>
      <c r="H321" s="229"/>
      <c r="I321" s="307"/>
      <c r="J321" s="229"/>
      <c r="K321" s="229"/>
      <c r="L321" s="229"/>
      <c r="M321" s="229"/>
      <c r="N321" s="229"/>
      <c r="O321" s="229"/>
      <c r="P321" s="229"/>
      <c r="Q321" s="229"/>
    </row>
    <row r="322" spans="2:17" hidden="1" outlineLevel="1">
      <c r="C322" s="9"/>
      <c r="D322" s="7">
        <v>10</v>
      </c>
      <c r="E322" s="310" t="s">
        <v>213</v>
      </c>
      <c r="F322" s="22"/>
      <c r="G322" s="12" t="str">
        <f>IFERROR(+G318/G320,"")</f>
        <v/>
      </c>
      <c r="H322" s="13" t="str">
        <f>IFERROR(+H318/H320,"")</f>
        <v/>
      </c>
      <c r="I322" s="16" t="str">
        <f t="shared" ref="I322:Q322" si="75">IFERROR(+I318/I320,"")</f>
        <v/>
      </c>
      <c r="J322" s="13" t="str">
        <f t="shared" si="75"/>
        <v/>
      </c>
      <c r="K322" s="13" t="str">
        <f t="shared" si="75"/>
        <v/>
      </c>
      <c r="L322" s="13" t="str">
        <f t="shared" si="75"/>
        <v/>
      </c>
      <c r="M322" s="13" t="str">
        <f t="shared" si="75"/>
        <v/>
      </c>
      <c r="N322" s="13" t="str">
        <f t="shared" si="75"/>
        <v/>
      </c>
      <c r="O322" s="13" t="str">
        <f t="shared" si="75"/>
        <v/>
      </c>
      <c r="P322" s="13" t="str">
        <f t="shared" si="75"/>
        <v/>
      </c>
      <c r="Q322" s="13" t="str">
        <f t="shared" si="75"/>
        <v/>
      </c>
    </row>
    <row r="323" spans="2:17" hidden="1" outlineLevel="1">
      <c r="C323" s="9"/>
      <c r="D323" s="7">
        <v>11</v>
      </c>
      <c r="E323" s="310" t="s">
        <v>214</v>
      </c>
      <c r="F323" s="22" t="s">
        <v>215</v>
      </c>
      <c r="G323" s="14"/>
      <c r="H323" s="48" t="str">
        <f t="shared" ref="H323:Q323" si="76">IFERROR((H322-G322)/G322,"")</f>
        <v/>
      </c>
      <c r="I323" s="49" t="str">
        <f t="shared" si="76"/>
        <v/>
      </c>
      <c r="J323" s="48" t="str">
        <f t="shared" si="76"/>
        <v/>
      </c>
      <c r="K323" s="48" t="str">
        <f>IFERROR((K322-J322)/J322,"")</f>
        <v/>
      </c>
      <c r="L323" s="48" t="str">
        <f t="shared" si="76"/>
        <v/>
      </c>
      <c r="M323" s="48" t="str">
        <f t="shared" si="76"/>
        <v/>
      </c>
      <c r="N323" s="48" t="str">
        <f t="shared" si="76"/>
        <v/>
      </c>
      <c r="O323" s="48" t="str">
        <f t="shared" si="76"/>
        <v/>
      </c>
      <c r="P323" s="48" t="str">
        <f t="shared" si="76"/>
        <v/>
      </c>
      <c r="Q323" s="48" t="str">
        <f t="shared" si="76"/>
        <v/>
      </c>
    </row>
    <row r="324" spans="2:17" hidden="1" outlineLevel="1">
      <c r="C324" s="9"/>
      <c r="D324" s="7">
        <v>12</v>
      </c>
      <c r="E324" s="310" t="s">
        <v>216</v>
      </c>
      <c r="F324" s="21"/>
      <c r="G324" s="70" t="str">
        <f t="shared" ref="G324:Q324" si="77">IFERROR(+G319/G321,"")</f>
        <v/>
      </c>
      <c r="H324" s="71" t="str">
        <f t="shared" si="77"/>
        <v/>
      </c>
      <c r="I324" s="71" t="str">
        <f t="shared" si="77"/>
        <v/>
      </c>
      <c r="J324" s="71" t="str">
        <f t="shared" si="77"/>
        <v/>
      </c>
      <c r="K324" s="71" t="str">
        <f t="shared" si="77"/>
        <v/>
      </c>
      <c r="L324" s="71" t="str">
        <f t="shared" si="77"/>
        <v/>
      </c>
      <c r="M324" s="71" t="str">
        <f t="shared" si="77"/>
        <v/>
      </c>
      <c r="N324" s="71" t="str">
        <f t="shared" si="77"/>
        <v/>
      </c>
      <c r="O324" s="71" t="str">
        <f t="shared" si="77"/>
        <v/>
      </c>
      <c r="P324" s="71" t="str">
        <f t="shared" si="77"/>
        <v/>
      </c>
      <c r="Q324" s="71" t="str">
        <f t="shared" si="77"/>
        <v/>
      </c>
    </row>
    <row r="325" spans="2:17" hidden="1" outlineLevel="1">
      <c r="D325" s="7">
        <v>13</v>
      </c>
      <c r="E325" s="310" t="s">
        <v>217</v>
      </c>
      <c r="F325" s="21" t="s">
        <v>218</v>
      </c>
      <c r="G325" s="14"/>
      <c r="H325" s="48" t="str">
        <f t="shared" ref="H325:Q325" si="78">IFERROR((H324-G324)/G324,"")</f>
        <v/>
      </c>
      <c r="I325" s="49" t="str">
        <f t="shared" si="78"/>
        <v/>
      </c>
      <c r="J325" s="48" t="str">
        <f t="shared" si="78"/>
        <v/>
      </c>
      <c r="K325" s="48" t="str">
        <f t="shared" si="78"/>
        <v/>
      </c>
      <c r="L325" s="48" t="str">
        <f t="shared" si="78"/>
        <v/>
      </c>
      <c r="M325" s="48" t="str">
        <f t="shared" si="78"/>
        <v/>
      </c>
      <c r="N325" s="48" t="str">
        <f t="shared" si="78"/>
        <v/>
      </c>
      <c r="O325" s="48" t="str">
        <f t="shared" si="78"/>
        <v/>
      </c>
      <c r="P325" s="48" t="str">
        <f t="shared" si="78"/>
        <v/>
      </c>
      <c r="Q325" s="48" t="str">
        <f t="shared" si="78"/>
        <v/>
      </c>
    </row>
    <row r="326" spans="2:17" collapsed="1">
      <c r="E326" s="314"/>
    </row>
    <row r="327" spans="2:17" ht="18.5" thickBot="1">
      <c r="B327" s="69"/>
      <c r="C327" s="46" t="s">
        <v>299</v>
      </c>
      <c r="D327" s="4"/>
      <c r="E327" s="308"/>
      <c r="F327" s="240" t="str">
        <f>IF(G328="","","折りたたまれたセルのグループ（非表示行）を展開して、入力項目を入力してください。")</f>
        <v/>
      </c>
      <c r="L327" s="51"/>
    </row>
    <row r="328" spans="2:17" ht="50.15" customHeight="1" thickBot="1">
      <c r="D328" s="128">
        <v>1</v>
      </c>
      <c r="E328" s="311" t="s">
        <v>275</v>
      </c>
      <c r="F328" s="129"/>
      <c r="G328" s="130" t="str">
        <f>IF($H$102="","",$H$102)</f>
        <v/>
      </c>
    </row>
    <row r="329" spans="2:17" hidden="1" outlineLevel="1">
      <c r="D329" s="52">
        <v>2</v>
      </c>
      <c r="E329" s="312" t="s">
        <v>292</v>
      </c>
      <c r="F329" s="57" t="s">
        <v>241</v>
      </c>
      <c r="G329" s="144"/>
    </row>
    <row r="330" spans="2:17" ht="33" hidden="1" outlineLevel="1">
      <c r="D330" s="52">
        <v>3</v>
      </c>
      <c r="E330" s="312" t="s">
        <v>277</v>
      </c>
      <c r="F330" s="30" t="s">
        <v>241</v>
      </c>
      <c r="G330" s="141"/>
      <c r="K330" s="375" t="s">
        <v>300</v>
      </c>
      <c r="L330" s="375"/>
      <c r="M330" s="375"/>
      <c r="N330" s="375"/>
      <c r="O330" s="196"/>
      <c r="P330" s="195" t="s">
        <v>279</v>
      </c>
      <c r="Q330" s="50" t="s">
        <v>280</v>
      </c>
    </row>
    <row r="331" spans="2:17" hidden="1" outlineLevel="1">
      <c r="D331" s="52">
        <v>4</v>
      </c>
      <c r="E331" s="293" t="s">
        <v>281</v>
      </c>
      <c r="F331" s="19" t="s">
        <v>241</v>
      </c>
      <c r="G331" s="141"/>
      <c r="H331" s="6"/>
      <c r="K331" s="375"/>
      <c r="L331" s="375"/>
      <c r="M331" s="375"/>
      <c r="N331" s="375"/>
      <c r="O331" s="125" t="s">
        <v>282</v>
      </c>
      <c r="P331" s="131" t="str">
        <f>IF(AND(COUNTA($G338:$Q338)&gt;0,SUMIF($G338:$Q338,"&lt;&gt;"&amp;"")=0),"－",IFERROR(((HLOOKUP(EDATE($F$13,36),$G335:$Q343,6,FALSE))/(HLOOKUP(EDATE($F$13,0),$G335:$Q343,6,FALSE)))^(1/3)-1,""))</f>
        <v/>
      </c>
      <c r="Q331" s="376">
        <v>4.4999999999999998E-2</v>
      </c>
    </row>
    <row r="332" spans="2:17" ht="36" hidden="1" outlineLevel="1">
      <c r="D332" s="52">
        <v>5</v>
      </c>
      <c r="E332" s="293" t="s">
        <v>283</v>
      </c>
      <c r="F332" s="19" t="s">
        <v>256</v>
      </c>
      <c r="G332" s="315"/>
      <c r="H332" s="6"/>
      <c r="K332" s="375"/>
      <c r="L332" s="375"/>
      <c r="M332" s="375"/>
      <c r="N332" s="375"/>
      <c r="O332" s="125" t="s">
        <v>284</v>
      </c>
      <c r="P332" s="125" t="str">
        <f>IF(AND(COUNTA($G339:$Q339)&gt;0,SUMIF($G339:$Q339,"&lt;&gt;"&amp;"")=0),"－",IFERROR(((HLOOKUP(EDATE($F$13,36),$G335:$Q343,8,FALSE))/(HLOOKUP(EDATE($F$13,0),$G335:$Q343,8,FALSE)))^(1/3)-1,""))</f>
        <v/>
      </c>
      <c r="Q332" s="377"/>
    </row>
    <row r="333" spans="2:17" hidden="1" outlineLevel="1">
      <c r="D333" s="35"/>
      <c r="E333" s="316" t="s">
        <v>257</v>
      </c>
      <c r="F333" s="34"/>
      <c r="G333" s="1" t="s">
        <v>179</v>
      </c>
    </row>
    <row r="334" spans="2:17" hidden="1" outlineLevel="1">
      <c r="E334" s="308"/>
      <c r="G334" s="64" t="s">
        <v>181</v>
      </c>
      <c r="H334" s="64" t="s">
        <v>182</v>
      </c>
      <c r="I334" s="64" t="s">
        <v>183</v>
      </c>
      <c r="J334" s="132" t="s">
        <v>184</v>
      </c>
      <c r="K334" s="132"/>
      <c r="L334" s="132"/>
      <c r="M334" s="132"/>
      <c r="N334" s="132"/>
      <c r="O334" s="132"/>
      <c r="P334" s="132"/>
      <c r="Q334" s="132"/>
    </row>
    <row r="335" spans="2:17" hidden="1" outlineLevel="1">
      <c r="D335" s="11"/>
      <c r="E335" s="206"/>
      <c r="F335" s="56"/>
      <c r="G335" s="63" t="str">
        <f>IF($I335="","",EDATE(H335,-12))</f>
        <v/>
      </c>
      <c r="H335" s="63" t="str">
        <f>IF($I335="","",EDATE(I335,-12))</f>
        <v/>
      </c>
      <c r="I335" s="63" t="str">
        <f>IF($I$12="","",$I$12)</f>
        <v/>
      </c>
      <c r="J335" s="63" t="str">
        <f t="shared" ref="J335:Q335" si="79">IF($I335="","",EDATE(I335,12))</f>
        <v/>
      </c>
      <c r="K335" s="63" t="str">
        <f t="shared" si="79"/>
        <v/>
      </c>
      <c r="L335" s="63" t="str">
        <f t="shared" si="79"/>
        <v/>
      </c>
      <c r="M335" s="63" t="str">
        <f t="shared" si="79"/>
        <v/>
      </c>
      <c r="N335" s="63" t="str">
        <f t="shared" si="79"/>
        <v/>
      </c>
      <c r="O335" s="63" t="str">
        <f t="shared" si="79"/>
        <v/>
      </c>
      <c r="P335" s="63" t="str">
        <f t="shared" si="79"/>
        <v/>
      </c>
      <c r="Q335" s="63" t="str">
        <f t="shared" si="79"/>
        <v/>
      </c>
    </row>
    <row r="336" spans="2:17" hidden="1" outlineLevel="1">
      <c r="D336" s="52">
        <v>6</v>
      </c>
      <c r="E336" s="293" t="s">
        <v>206</v>
      </c>
      <c r="F336" s="55"/>
      <c r="G336" s="138"/>
      <c r="H336" s="138"/>
      <c r="I336" s="138"/>
      <c r="J336" s="138"/>
      <c r="K336" s="138"/>
      <c r="L336" s="138"/>
      <c r="M336" s="138"/>
      <c r="N336" s="138"/>
      <c r="O336" s="138"/>
      <c r="P336" s="106"/>
      <c r="Q336" s="106"/>
    </row>
    <row r="337" spans="2:17" hidden="1" outlineLevel="1">
      <c r="C337" s="9"/>
      <c r="D337" s="52">
        <v>5</v>
      </c>
      <c r="E337" s="293" t="s">
        <v>207</v>
      </c>
      <c r="F337" s="55"/>
      <c r="G337" s="138"/>
      <c r="H337" s="106"/>
      <c r="I337" s="139"/>
      <c r="J337" s="106"/>
      <c r="K337" s="106"/>
      <c r="L337" s="154"/>
      <c r="M337" s="106"/>
      <c r="N337" s="106"/>
      <c r="O337" s="106"/>
      <c r="P337" s="106"/>
      <c r="Q337" s="106"/>
    </row>
    <row r="338" spans="2:17" hidden="1" outlineLevel="1">
      <c r="C338" s="9"/>
      <c r="D338" s="5">
        <v>8</v>
      </c>
      <c r="E338" s="303" t="s">
        <v>210</v>
      </c>
      <c r="F338" s="20" t="s">
        <v>211</v>
      </c>
      <c r="G338" s="306"/>
      <c r="H338" s="306"/>
      <c r="I338" s="306"/>
      <c r="J338" s="306"/>
      <c r="K338" s="306"/>
      <c r="L338" s="306"/>
      <c r="M338" s="306"/>
      <c r="N338" s="306"/>
      <c r="O338" s="306"/>
      <c r="P338" s="229"/>
      <c r="Q338" s="229"/>
    </row>
    <row r="339" spans="2:17" hidden="1" outlineLevel="1">
      <c r="C339" s="9"/>
      <c r="D339" s="52">
        <v>9</v>
      </c>
      <c r="E339" s="293" t="s">
        <v>212</v>
      </c>
      <c r="F339" s="55" t="s">
        <v>287</v>
      </c>
      <c r="G339" s="306"/>
      <c r="H339" s="229"/>
      <c r="I339" s="307"/>
      <c r="J339" s="229"/>
      <c r="K339" s="229"/>
      <c r="L339" s="229"/>
      <c r="M339" s="229"/>
      <c r="N339" s="229"/>
      <c r="O339" s="229"/>
      <c r="P339" s="229"/>
      <c r="Q339" s="229"/>
    </row>
    <row r="340" spans="2:17" hidden="1" outlineLevel="1">
      <c r="C340" s="9"/>
      <c r="D340" s="7">
        <v>10</v>
      </c>
      <c r="E340" s="310" t="s">
        <v>213</v>
      </c>
      <c r="F340" s="22"/>
      <c r="G340" s="12" t="str">
        <f>IFERROR(+G336/G338,"")</f>
        <v/>
      </c>
      <c r="H340" s="13" t="str">
        <f>IFERROR(+H336/H338,"")</f>
        <v/>
      </c>
      <c r="I340" s="16" t="str">
        <f t="shared" ref="I340:Q340" si="80">IFERROR(+I336/I338,"")</f>
        <v/>
      </c>
      <c r="J340" s="13" t="str">
        <f t="shared" si="80"/>
        <v/>
      </c>
      <c r="K340" s="13" t="str">
        <f t="shared" si="80"/>
        <v/>
      </c>
      <c r="L340" s="13" t="str">
        <f t="shared" si="80"/>
        <v/>
      </c>
      <c r="M340" s="13" t="str">
        <f t="shared" si="80"/>
        <v/>
      </c>
      <c r="N340" s="13" t="str">
        <f t="shared" si="80"/>
        <v/>
      </c>
      <c r="O340" s="13" t="str">
        <f t="shared" si="80"/>
        <v/>
      </c>
      <c r="P340" s="13" t="str">
        <f t="shared" si="80"/>
        <v/>
      </c>
      <c r="Q340" s="13" t="str">
        <f t="shared" si="80"/>
        <v/>
      </c>
    </row>
    <row r="341" spans="2:17" hidden="1" outlineLevel="1">
      <c r="C341" s="9"/>
      <c r="D341" s="7">
        <v>11</v>
      </c>
      <c r="E341" s="310" t="s">
        <v>214</v>
      </c>
      <c r="F341" s="22" t="s">
        <v>215</v>
      </c>
      <c r="G341" s="14"/>
      <c r="H341" s="48" t="str">
        <f t="shared" ref="H341:Q341" si="81">IFERROR((H340-G340)/G340,"")</f>
        <v/>
      </c>
      <c r="I341" s="49" t="str">
        <f t="shared" si="81"/>
        <v/>
      </c>
      <c r="J341" s="48" t="str">
        <f t="shared" si="81"/>
        <v/>
      </c>
      <c r="K341" s="48" t="str">
        <f>IFERROR((K340-J340)/J340,"")</f>
        <v/>
      </c>
      <c r="L341" s="48" t="str">
        <f t="shared" si="81"/>
        <v/>
      </c>
      <c r="M341" s="48" t="str">
        <f t="shared" si="81"/>
        <v/>
      </c>
      <c r="N341" s="48" t="str">
        <f t="shared" si="81"/>
        <v/>
      </c>
      <c r="O341" s="48" t="str">
        <f t="shared" si="81"/>
        <v/>
      </c>
      <c r="P341" s="48" t="str">
        <f t="shared" si="81"/>
        <v/>
      </c>
      <c r="Q341" s="48" t="str">
        <f t="shared" si="81"/>
        <v/>
      </c>
    </row>
    <row r="342" spans="2:17" hidden="1" outlineLevel="1">
      <c r="C342" s="9"/>
      <c r="D342" s="7">
        <v>12</v>
      </c>
      <c r="E342" s="310" t="s">
        <v>216</v>
      </c>
      <c r="F342" s="21"/>
      <c r="G342" s="70" t="str">
        <f t="shared" ref="G342:Q342" si="82">IFERROR(+G337/G339,"")</f>
        <v/>
      </c>
      <c r="H342" s="71" t="str">
        <f t="shared" si="82"/>
        <v/>
      </c>
      <c r="I342" s="71" t="str">
        <f t="shared" si="82"/>
        <v/>
      </c>
      <c r="J342" s="71" t="str">
        <f t="shared" si="82"/>
        <v/>
      </c>
      <c r="K342" s="71" t="str">
        <f t="shared" si="82"/>
        <v/>
      </c>
      <c r="L342" s="71" t="str">
        <f t="shared" si="82"/>
        <v/>
      </c>
      <c r="M342" s="71" t="str">
        <f t="shared" si="82"/>
        <v/>
      </c>
      <c r="N342" s="71" t="str">
        <f t="shared" si="82"/>
        <v/>
      </c>
      <c r="O342" s="71" t="str">
        <f t="shared" si="82"/>
        <v/>
      </c>
      <c r="P342" s="71" t="str">
        <f t="shared" si="82"/>
        <v/>
      </c>
      <c r="Q342" s="71" t="str">
        <f t="shared" si="82"/>
        <v/>
      </c>
    </row>
    <row r="343" spans="2:17" hidden="1" outlineLevel="1">
      <c r="D343" s="7">
        <v>13</v>
      </c>
      <c r="E343" s="310" t="s">
        <v>217</v>
      </c>
      <c r="F343" s="21" t="s">
        <v>218</v>
      </c>
      <c r="G343" s="14"/>
      <c r="H343" s="48" t="str">
        <f t="shared" ref="H343:Q343" si="83">IFERROR((H342-G342)/G342,"")</f>
        <v/>
      </c>
      <c r="I343" s="49" t="str">
        <f t="shared" si="83"/>
        <v/>
      </c>
      <c r="J343" s="48" t="str">
        <f t="shared" si="83"/>
        <v/>
      </c>
      <c r="K343" s="48" t="str">
        <f t="shared" si="83"/>
        <v/>
      </c>
      <c r="L343" s="48" t="str">
        <f t="shared" si="83"/>
        <v/>
      </c>
      <c r="M343" s="48" t="str">
        <f t="shared" si="83"/>
        <v/>
      </c>
      <c r="N343" s="48" t="str">
        <f t="shared" si="83"/>
        <v/>
      </c>
      <c r="O343" s="48" t="str">
        <f t="shared" si="83"/>
        <v/>
      </c>
      <c r="P343" s="48" t="str">
        <f t="shared" si="83"/>
        <v/>
      </c>
      <c r="Q343" s="48" t="str">
        <f t="shared" si="83"/>
        <v/>
      </c>
    </row>
    <row r="344" spans="2:17" collapsed="1">
      <c r="E344" s="314"/>
    </row>
    <row r="345" spans="2:17" ht="18.5" thickBot="1">
      <c r="B345" s="69"/>
      <c r="C345" s="46" t="s">
        <v>301</v>
      </c>
      <c r="D345" s="4"/>
      <c r="E345" s="308"/>
      <c r="F345" s="240" t="str">
        <f>IF(G346="","","折りたたまれたセルのグループ（非表示行）を展開して、入力項目を入力してください。")</f>
        <v/>
      </c>
      <c r="L345" s="51"/>
    </row>
    <row r="346" spans="2:17" ht="50.15" customHeight="1" thickBot="1">
      <c r="D346" s="128">
        <v>1</v>
      </c>
      <c r="E346" s="311" t="s">
        <v>275</v>
      </c>
      <c r="F346" s="129"/>
      <c r="G346" s="130" t="str">
        <f>IF($I$102="","",$I$102)</f>
        <v/>
      </c>
    </row>
    <row r="347" spans="2:17" hidden="1" outlineLevel="1">
      <c r="D347" s="52">
        <v>2</v>
      </c>
      <c r="E347" s="312" t="s">
        <v>292</v>
      </c>
      <c r="F347" s="57" t="s">
        <v>241</v>
      </c>
      <c r="G347" s="144"/>
    </row>
    <row r="348" spans="2:17" ht="33" hidden="1" outlineLevel="1">
      <c r="D348" s="52">
        <v>3</v>
      </c>
      <c r="E348" s="312" t="s">
        <v>277</v>
      </c>
      <c r="F348" s="30" t="s">
        <v>241</v>
      </c>
      <c r="G348" s="141"/>
      <c r="K348" s="375" t="s">
        <v>300</v>
      </c>
      <c r="L348" s="375"/>
      <c r="M348" s="375"/>
      <c r="N348" s="375"/>
      <c r="O348" s="196"/>
      <c r="P348" s="195" t="s">
        <v>279</v>
      </c>
      <c r="Q348" s="50" t="s">
        <v>280</v>
      </c>
    </row>
    <row r="349" spans="2:17" hidden="1" outlineLevel="1">
      <c r="D349" s="52">
        <v>4</v>
      </c>
      <c r="E349" s="293" t="s">
        <v>281</v>
      </c>
      <c r="F349" s="19" t="s">
        <v>241</v>
      </c>
      <c r="G349" s="141"/>
      <c r="H349" s="6"/>
      <c r="K349" s="375"/>
      <c r="L349" s="375"/>
      <c r="M349" s="375"/>
      <c r="N349" s="375"/>
      <c r="O349" s="125" t="s">
        <v>282</v>
      </c>
      <c r="P349" s="131" t="str">
        <f>IF(AND(COUNTA($G356:$Q356)&gt;0,SUMIF($G356:$Q356,"&lt;&gt;"&amp;"")=0),"－",IFERROR(((HLOOKUP(EDATE($F$13,36),$G353:$Q361,6,FALSE))/(HLOOKUP(EDATE($F$13,0),$G353:$Q361,6,FALSE)))^(1/3)-1,""))</f>
        <v/>
      </c>
      <c r="Q349" s="376">
        <v>4.4999999999999998E-2</v>
      </c>
    </row>
    <row r="350" spans="2:17" ht="36" hidden="1" outlineLevel="1">
      <c r="D350" s="52">
        <v>5</v>
      </c>
      <c r="E350" s="293" t="s">
        <v>283</v>
      </c>
      <c r="F350" s="19" t="s">
        <v>256</v>
      </c>
      <c r="G350" s="315"/>
      <c r="H350" s="6"/>
      <c r="K350" s="375"/>
      <c r="L350" s="375"/>
      <c r="M350" s="375"/>
      <c r="N350" s="375"/>
      <c r="O350" s="125" t="s">
        <v>284</v>
      </c>
      <c r="P350" s="125" t="str">
        <f>IF(AND(COUNTA($G357:$Q357)&gt;0,SUMIF($G357:$Q357,"&lt;&gt;"&amp;"")=0),"－",IFERROR(((HLOOKUP(EDATE($F$13,36),$G353:$Q361,8,FALSE))/(HLOOKUP(EDATE($F$13,0),$G353:$Q361,8,FALSE)))^(1/3)-1,""))</f>
        <v/>
      </c>
      <c r="Q350" s="377"/>
    </row>
    <row r="351" spans="2:17" hidden="1" outlineLevel="1">
      <c r="D351" s="35"/>
      <c r="E351" s="316" t="s">
        <v>257</v>
      </c>
      <c r="F351" s="34"/>
      <c r="G351" s="1" t="s">
        <v>179</v>
      </c>
    </row>
    <row r="352" spans="2:17" hidden="1" outlineLevel="1">
      <c r="E352" s="308"/>
      <c r="G352" s="64" t="s">
        <v>181</v>
      </c>
      <c r="H352" s="64" t="s">
        <v>182</v>
      </c>
      <c r="I352" s="64" t="s">
        <v>183</v>
      </c>
      <c r="J352" s="132" t="s">
        <v>184</v>
      </c>
      <c r="K352" s="132"/>
      <c r="L352" s="132"/>
      <c r="M352" s="132"/>
      <c r="N352" s="132"/>
      <c r="O352" s="132"/>
      <c r="P352" s="132"/>
      <c r="Q352" s="132"/>
    </row>
    <row r="353" spans="2:17" hidden="1" outlineLevel="1">
      <c r="D353" s="11"/>
      <c r="E353" s="206"/>
      <c r="F353" s="56"/>
      <c r="G353" s="63" t="str">
        <f>IF($I353="","",EDATE(H353,-12))</f>
        <v/>
      </c>
      <c r="H353" s="63" t="str">
        <f>IF($I353="","",EDATE(I353,-12))</f>
        <v/>
      </c>
      <c r="I353" s="63" t="str">
        <f>IF($I$12="","",$I$12)</f>
        <v/>
      </c>
      <c r="J353" s="63" t="str">
        <f t="shared" ref="J353:Q353" si="84">IF($I353="","",EDATE(I353,12))</f>
        <v/>
      </c>
      <c r="K353" s="63" t="str">
        <f t="shared" si="84"/>
        <v/>
      </c>
      <c r="L353" s="63" t="str">
        <f t="shared" si="84"/>
        <v/>
      </c>
      <c r="M353" s="63" t="str">
        <f t="shared" si="84"/>
        <v/>
      </c>
      <c r="N353" s="63" t="str">
        <f t="shared" si="84"/>
        <v/>
      </c>
      <c r="O353" s="63" t="str">
        <f t="shared" si="84"/>
        <v/>
      </c>
      <c r="P353" s="63" t="str">
        <f t="shared" si="84"/>
        <v/>
      </c>
      <c r="Q353" s="63" t="str">
        <f t="shared" si="84"/>
        <v/>
      </c>
    </row>
    <row r="354" spans="2:17" hidden="1" outlineLevel="1">
      <c r="D354" s="52">
        <v>6</v>
      </c>
      <c r="E354" s="293" t="s">
        <v>206</v>
      </c>
      <c r="F354" s="55"/>
      <c r="G354" s="138"/>
      <c r="H354" s="138"/>
      <c r="I354" s="138"/>
      <c r="J354" s="138"/>
      <c r="K354" s="138"/>
      <c r="L354" s="138"/>
      <c r="M354" s="138"/>
      <c r="N354" s="138"/>
      <c r="O354" s="138"/>
      <c r="P354" s="106"/>
      <c r="Q354" s="106"/>
    </row>
    <row r="355" spans="2:17" hidden="1" outlineLevel="1">
      <c r="C355" s="9"/>
      <c r="D355" s="52">
        <v>7</v>
      </c>
      <c r="E355" s="293" t="s">
        <v>207</v>
      </c>
      <c r="F355" s="55"/>
      <c r="G355" s="138"/>
      <c r="H355" s="106"/>
      <c r="I355" s="139"/>
      <c r="J355" s="106"/>
      <c r="K355" s="106"/>
      <c r="L355" s="154"/>
      <c r="M355" s="106"/>
      <c r="N355" s="106"/>
      <c r="O355" s="106"/>
      <c r="P355" s="106"/>
      <c r="Q355" s="106"/>
    </row>
    <row r="356" spans="2:17" hidden="1" outlineLevel="1">
      <c r="C356" s="9"/>
      <c r="D356" s="5">
        <v>8</v>
      </c>
      <c r="E356" s="303" t="s">
        <v>210</v>
      </c>
      <c r="F356" s="20" t="s">
        <v>211</v>
      </c>
      <c r="G356" s="306"/>
      <c r="H356" s="306"/>
      <c r="I356" s="306"/>
      <c r="J356" s="306"/>
      <c r="K356" s="306"/>
      <c r="L356" s="306"/>
      <c r="M356" s="306"/>
      <c r="N356" s="306"/>
      <c r="O356" s="306"/>
      <c r="P356" s="229"/>
      <c r="Q356" s="229"/>
    </row>
    <row r="357" spans="2:17" hidden="1" outlineLevel="1">
      <c r="C357" s="9"/>
      <c r="D357" s="52">
        <v>9</v>
      </c>
      <c r="E357" s="293" t="s">
        <v>212</v>
      </c>
      <c r="F357" s="55" t="s">
        <v>287</v>
      </c>
      <c r="G357" s="306"/>
      <c r="H357" s="229"/>
      <c r="I357" s="307"/>
      <c r="J357" s="229"/>
      <c r="K357" s="229"/>
      <c r="L357" s="229"/>
      <c r="M357" s="229"/>
      <c r="N357" s="229"/>
      <c r="O357" s="229"/>
      <c r="P357" s="229"/>
      <c r="Q357" s="229"/>
    </row>
    <row r="358" spans="2:17" hidden="1" outlineLevel="1">
      <c r="C358" s="9"/>
      <c r="D358" s="7">
        <v>10</v>
      </c>
      <c r="E358" s="310" t="s">
        <v>213</v>
      </c>
      <c r="F358" s="22"/>
      <c r="G358" s="12" t="str">
        <f>IFERROR(+G354/G356,"")</f>
        <v/>
      </c>
      <c r="H358" s="13" t="str">
        <f>IFERROR(+H354/H356,"")</f>
        <v/>
      </c>
      <c r="I358" s="16" t="str">
        <f t="shared" ref="I358:Q358" si="85">IFERROR(+I354/I356,"")</f>
        <v/>
      </c>
      <c r="J358" s="13" t="str">
        <f t="shared" si="85"/>
        <v/>
      </c>
      <c r="K358" s="13" t="str">
        <f t="shared" si="85"/>
        <v/>
      </c>
      <c r="L358" s="13" t="str">
        <f t="shared" si="85"/>
        <v/>
      </c>
      <c r="M358" s="13" t="str">
        <f t="shared" si="85"/>
        <v/>
      </c>
      <c r="N358" s="13" t="str">
        <f t="shared" si="85"/>
        <v/>
      </c>
      <c r="O358" s="13" t="str">
        <f t="shared" si="85"/>
        <v/>
      </c>
      <c r="P358" s="13" t="str">
        <f t="shared" si="85"/>
        <v/>
      </c>
      <c r="Q358" s="13" t="str">
        <f t="shared" si="85"/>
        <v/>
      </c>
    </row>
    <row r="359" spans="2:17" hidden="1" outlineLevel="1">
      <c r="C359" s="9"/>
      <c r="D359" s="7">
        <v>11</v>
      </c>
      <c r="E359" s="310" t="s">
        <v>214</v>
      </c>
      <c r="F359" s="22" t="s">
        <v>215</v>
      </c>
      <c r="G359" s="14"/>
      <c r="H359" s="48" t="str">
        <f t="shared" ref="H359:Q359" si="86">IFERROR((H358-G358)/G358,"")</f>
        <v/>
      </c>
      <c r="I359" s="49" t="str">
        <f t="shared" si="86"/>
        <v/>
      </c>
      <c r="J359" s="48" t="str">
        <f t="shared" si="86"/>
        <v/>
      </c>
      <c r="K359" s="48" t="str">
        <f>IFERROR((K358-J358)/J358,"")</f>
        <v/>
      </c>
      <c r="L359" s="48" t="str">
        <f t="shared" si="86"/>
        <v/>
      </c>
      <c r="M359" s="48" t="str">
        <f t="shared" si="86"/>
        <v/>
      </c>
      <c r="N359" s="48" t="str">
        <f t="shared" si="86"/>
        <v/>
      </c>
      <c r="O359" s="48" t="str">
        <f t="shared" si="86"/>
        <v/>
      </c>
      <c r="P359" s="48" t="str">
        <f t="shared" si="86"/>
        <v/>
      </c>
      <c r="Q359" s="48" t="str">
        <f t="shared" si="86"/>
        <v/>
      </c>
    </row>
    <row r="360" spans="2:17" hidden="1" outlineLevel="1">
      <c r="C360" s="9"/>
      <c r="D360" s="7">
        <v>12</v>
      </c>
      <c r="E360" s="310" t="s">
        <v>216</v>
      </c>
      <c r="F360" s="21"/>
      <c r="G360" s="70" t="str">
        <f t="shared" ref="G360:Q360" si="87">IFERROR(+G355/G357,"")</f>
        <v/>
      </c>
      <c r="H360" s="71" t="str">
        <f t="shared" si="87"/>
        <v/>
      </c>
      <c r="I360" s="71" t="str">
        <f t="shared" si="87"/>
        <v/>
      </c>
      <c r="J360" s="71" t="str">
        <f t="shared" si="87"/>
        <v/>
      </c>
      <c r="K360" s="71" t="str">
        <f t="shared" si="87"/>
        <v/>
      </c>
      <c r="L360" s="71" t="str">
        <f t="shared" si="87"/>
        <v/>
      </c>
      <c r="M360" s="71" t="str">
        <f t="shared" si="87"/>
        <v/>
      </c>
      <c r="N360" s="71" t="str">
        <f t="shared" si="87"/>
        <v/>
      </c>
      <c r="O360" s="71" t="str">
        <f t="shared" si="87"/>
        <v/>
      </c>
      <c r="P360" s="71" t="str">
        <f t="shared" si="87"/>
        <v/>
      </c>
      <c r="Q360" s="71" t="str">
        <f t="shared" si="87"/>
        <v/>
      </c>
    </row>
    <row r="361" spans="2:17" hidden="1" outlineLevel="1">
      <c r="D361" s="7">
        <v>13</v>
      </c>
      <c r="E361" s="310" t="s">
        <v>217</v>
      </c>
      <c r="F361" s="21" t="s">
        <v>218</v>
      </c>
      <c r="G361" s="14"/>
      <c r="H361" s="48" t="str">
        <f t="shared" ref="H361:Q361" si="88">IFERROR((H360-G360)/G360,"")</f>
        <v/>
      </c>
      <c r="I361" s="49" t="str">
        <f t="shared" si="88"/>
        <v/>
      </c>
      <c r="J361" s="48" t="str">
        <f t="shared" si="88"/>
        <v/>
      </c>
      <c r="K361" s="48" t="str">
        <f t="shared" si="88"/>
        <v/>
      </c>
      <c r="L361" s="48" t="str">
        <f t="shared" si="88"/>
        <v/>
      </c>
      <c r="M361" s="48" t="str">
        <f t="shared" si="88"/>
        <v/>
      </c>
      <c r="N361" s="48" t="str">
        <f t="shared" si="88"/>
        <v/>
      </c>
      <c r="O361" s="48" t="str">
        <f t="shared" si="88"/>
        <v/>
      </c>
      <c r="P361" s="48" t="str">
        <f t="shared" si="88"/>
        <v/>
      </c>
      <c r="Q361" s="48" t="str">
        <f t="shared" si="88"/>
        <v/>
      </c>
    </row>
    <row r="362" spans="2:17" collapsed="1">
      <c r="E362" s="314"/>
    </row>
    <row r="363" spans="2:17" ht="18.5" thickBot="1">
      <c r="B363" s="69"/>
      <c r="C363" s="46" t="s">
        <v>302</v>
      </c>
      <c r="D363" s="4"/>
      <c r="E363" s="308"/>
      <c r="F363" s="240" t="str">
        <f>IF(G364="","","折りたたまれたセルのグループ（非表示行）を展開して、入力項目を入力してください。")</f>
        <v/>
      </c>
      <c r="L363" s="51"/>
    </row>
    <row r="364" spans="2:17" ht="50.15" customHeight="1" thickBot="1">
      <c r="D364" s="128">
        <v>1</v>
      </c>
      <c r="E364" s="311" t="s">
        <v>275</v>
      </c>
      <c r="F364" s="129"/>
      <c r="G364" s="130" t="str">
        <f>IF($J$102="","",$J$102)</f>
        <v/>
      </c>
    </row>
    <row r="365" spans="2:17" hidden="1" outlineLevel="1">
      <c r="D365" s="52">
        <v>2</v>
      </c>
      <c r="E365" s="312" t="s">
        <v>292</v>
      </c>
      <c r="F365" s="57" t="s">
        <v>241</v>
      </c>
      <c r="G365" s="144"/>
    </row>
    <row r="366" spans="2:17" ht="33" hidden="1" outlineLevel="1">
      <c r="D366" s="52">
        <v>3</v>
      </c>
      <c r="E366" s="312" t="s">
        <v>277</v>
      </c>
      <c r="F366" s="30" t="s">
        <v>241</v>
      </c>
      <c r="G366" s="141"/>
      <c r="K366" s="375" t="s">
        <v>278</v>
      </c>
      <c r="L366" s="375"/>
      <c r="M366" s="375"/>
      <c r="N366" s="375"/>
      <c r="O366" s="196"/>
      <c r="P366" s="195" t="s">
        <v>279</v>
      </c>
      <c r="Q366" s="50" t="s">
        <v>280</v>
      </c>
    </row>
    <row r="367" spans="2:17" hidden="1" outlineLevel="1">
      <c r="D367" s="52">
        <v>4</v>
      </c>
      <c r="E367" s="293" t="s">
        <v>281</v>
      </c>
      <c r="F367" s="19" t="s">
        <v>241</v>
      </c>
      <c r="G367" s="141"/>
      <c r="H367" s="6"/>
      <c r="K367" s="375"/>
      <c r="L367" s="375"/>
      <c r="M367" s="375"/>
      <c r="N367" s="375"/>
      <c r="O367" s="125" t="s">
        <v>282</v>
      </c>
      <c r="P367" s="131" t="str">
        <f>IF(AND(COUNTA($G374:$Q374)&gt;0,SUMIF($G374:$Q374,"&lt;&gt;"&amp;"")=0),"－",IFERROR(((HLOOKUP(EDATE($F$13,36),$G371:$Q379,6,FALSE))/(HLOOKUP(EDATE($F$13,0),$G371:$Q379,6,FALSE)))^(1/3)-1,""))</f>
        <v/>
      </c>
      <c r="Q367" s="376">
        <v>4.4999999999999998E-2</v>
      </c>
    </row>
    <row r="368" spans="2:17" ht="36" hidden="1" outlineLevel="1">
      <c r="D368" s="52">
        <v>5</v>
      </c>
      <c r="E368" s="293" t="s">
        <v>283</v>
      </c>
      <c r="F368" s="19" t="s">
        <v>256</v>
      </c>
      <c r="G368" s="315"/>
      <c r="H368" s="6"/>
      <c r="K368" s="375"/>
      <c r="L368" s="375"/>
      <c r="M368" s="375"/>
      <c r="N368" s="375"/>
      <c r="O368" s="125" t="s">
        <v>284</v>
      </c>
      <c r="P368" s="125" t="str">
        <f>IF(AND(COUNTA($G375:$Q375)&gt;0,SUMIF($G375:$Q375,"&lt;&gt;"&amp;"")=0),"－",IFERROR(((HLOOKUP(EDATE($F$13,36),$G371:$Q379,8,FALSE))/(HLOOKUP(EDATE($F$13,0),$G371:$Q379,8,FALSE)))^(1/3)-1,""))</f>
        <v/>
      </c>
      <c r="Q368" s="377"/>
    </row>
    <row r="369" spans="2:17" hidden="1" outlineLevel="1">
      <c r="D369" s="35"/>
      <c r="E369" s="316" t="s">
        <v>257</v>
      </c>
      <c r="F369" s="34"/>
      <c r="G369" s="1" t="s">
        <v>179</v>
      </c>
    </row>
    <row r="370" spans="2:17" hidden="1" outlineLevel="1">
      <c r="E370" s="308"/>
      <c r="G370" s="64" t="s">
        <v>181</v>
      </c>
      <c r="H370" s="64" t="s">
        <v>182</v>
      </c>
      <c r="I370" s="64" t="s">
        <v>183</v>
      </c>
      <c r="J370" s="132" t="s">
        <v>184</v>
      </c>
      <c r="K370" s="132"/>
      <c r="L370" s="132"/>
      <c r="M370" s="132"/>
      <c r="N370" s="132"/>
      <c r="O370" s="132"/>
      <c r="P370" s="132"/>
      <c r="Q370" s="132"/>
    </row>
    <row r="371" spans="2:17" hidden="1" outlineLevel="1">
      <c r="D371" s="11"/>
      <c r="E371" s="206"/>
      <c r="F371" s="56"/>
      <c r="G371" s="63" t="str">
        <f>IF($I371="","",EDATE(H371,-12))</f>
        <v/>
      </c>
      <c r="H371" s="63" t="str">
        <f>IF($I371="","",EDATE(I371,-12))</f>
        <v/>
      </c>
      <c r="I371" s="63" t="str">
        <f>IF($I$12="","",$I$12)</f>
        <v/>
      </c>
      <c r="J371" s="63" t="str">
        <f t="shared" ref="J371:Q371" si="89">IF($I371="","",EDATE(I371,12))</f>
        <v/>
      </c>
      <c r="K371" s="63" t="str">
        <f t="shared" si="89"/>
        <v/>
      </c>
      <c r="L371" s="63" t="str">
        <f t="shared" si="89"/>
        <v/>
      </c>
      <c r="M371" s="63" t="str">
        <f t="shared" si="89"/>
        <v/>
      </c>
      <c r="N371" s="63" t="str">
        <f t="shared" si="89"/>
        <v/>
      </c>
      <c r="O371" s="63" t="str">
        <f t="shared" si="89"/>
        <v/>
      </c>
      <c r="P371" s="63" t="str">
        <f t="shared" si="89"/>
        <v/>
      </c>
      <c r="Q371" s="63" t="str">
        <f t="shared" si="89"/>
        <v/>
      </c>
    </row>
    <row r="372" spans="2:17" hidden="1" outlineLevel="1">
      <c r="D372" s="52">
        <v>6</v>
      </c>
      <c r="E372" s="293" t="s">
        <v>206</v>
      </c>
      <c r="F372" s="55"/>
      <c r="G372" s="138"/>
      <c r="H372" s="138"/>
      <c r="I372" s="138"/>
      <c r="J372" s="138"/>
      <c r="K372" s="138"/>
      <c r="L372" s="138"/>
      <c r="M372" s="138"/>
      <c r="N372" s="138"/>
      <c r="O372" s="138"/>
      <c r="P372" s="106"/>
      <c r="Q372" s="106"/>
    </row>
    <row r="373" spans="2:17" hidden="1" outlineLevel="1">
      <c r="C373" s="9"/>
      <c r="D373" s="52">
        <v>7</v>
      </c>
      <c r="E373" s="293" t="s">
        <v>207</v>
      </c>
      <c r="F373" s="55"/>
      <c r="G373" s="138"/>
      <c r="H373" s="106"/>
      <c r="I373" s="139"/>
      <c r="J373" s="106"/>
      <c r="K373" s="106"/>
      <c r="L373" s="154"/>
      <c r="M373" s="106"/>
      <c r="N373" s="106"/>
      <c r="O373" s="106"/>
      <c r="P373" s="106"/>
      <c r="Q373" s="106"/>
    </row>
    <row r="374" spans="2:17" hidden="1" outlineLevel="1">
      <c r="C374" s="9"/>
      <c r="D374" s="5">
        <v>8</v>
      </c>
      <c r="E374" s="303" t="s">
        <v>210</v>
      </c>
      <c r="F374" s="20" t="s">
        <v>211</v>
      </c>
      <c r="G374" s="306"/>
      <c r="H374" s="306"/>
      <c r="I374" s="306"/>
      <c r="J374" s="306"/>
      <c r="K374" s="306"/>
      <c r="L374" s="306"/>
      <c r="M374" s="306"/>
      <c r="N374" s="306"/>
      <c r="O374" s="306"/>
      <c r="P374" s="229"/>
      <c r="Q374" s="229"/>
    </row>
    <row r="375" spans="2:17" hidden="1" outlineLevel="1">
      <c r="C375" s="9"/>
      <c r="D375" s="52">
        <v>9</v>
      </c>
      <c r="E375" s="293" t="s">
        <v>212</v>
      </c>
      <c r="F375" s="55" t="s">
        <v>287</v>
      </c>
      <c r="G375" s="306"/>
      <c r="H375" s="229"/>
      <c r="I375" s="307"/>
      <c r="J375" s="229"/>
      <c r="K375" s="229"/>
      <c r="L375" s="229"/>
      <c r="M375" s="229"/>
      <c r="N375" s="229"/>
      <c r="O375" s="229"/>
      <c r="P375" s="229"/>
      <c r="Q375" s="229"/>
    </row>
    <row r="376" spans="2:17" hidden="1" outlineLevel="1">
      <c r="C376" s="9"/>
      <c r="D376" s="7">
        <v>10</v>
      </c>
      <c r="E376" s="310" t="s">
        <v>213</v>
      </c>
      <c r="F376" s="22"/>
      <c r="G376" s="12" t="str">
        <f>IFERROR(+G372/G374,"")</f>
        <v/>
      </c>
      <c r="H376" s="13" t="str">
        <f>IFERROR(+H372/H374,"")</f>
        <v/>
      </c>
      <c r="I376" s="16" t="str">
        <f t="shared" ref="I376:Q376" si="90">IFERROR(+I372/I374,"")</f>
        <v/>
      </c>
      <c r="J376" s="13" t="str">
        <f t="shared" si="90"/>
        <v/>
      </c>
      <c r="K376" s="13" t="str">
        <f t="shared" si="90"/>
        <v/>
      </c>
      <c r="L376" s="13" t="str">
        <f t="shared" si="90"/>
        <v/>
      </c>
      <c r="M376" s="13" t="str">
        <f t="shared" si="90"/>
        <v/>
      </c>
      <c r="N376" s="13" t="str">
        <f t="shared" si="90"/>
        <v/>
      </c>
      <c r="O376" s="13" t="str">
        <f t="shared" si="90"/>
        <v/>
      </c>
      <c r="P376" s="13" t="str">
        <f t="shared" si="90"/>
        <v/>
      </c>
      <c r="Q376" s="13" t="str">
        <f t="shared" si="90"/>
        <v/>
      </c>
    </row>
    <row r="377" spans="2:17" hidden="1" outlineLevel="1">
      <c r="C377" s="9"/>
      <c r="D377" s="7">
        <v>11</v>
      </c>
      <c r="E377" s="310" t="s">
        <v>214</v>
      </c>
      <c r="F377" s="22" t="s">
        <v>215</v>
      </c>
      <c r="G377" s="14"/>
      <c r="H377" s="48" t="str">
        <f t="shared" ref="H377:Q377" si="91">IFERROR((H376-G376)/G376,"")</f>
        <v/>
      </c>
      <c r="I377" s="49" t="str">
        <f t="shared" si="91"/>
        <v/>
      </c>
      <c r="J377" s="48" t="str">
        <f t="shared" si="91"/>
        <v/>
      </c>
      <c r="K377" s="48" t="str">
        <f>IFERROR((K376-J376)/J376,"")</f>
        <v/>
      </c>
      <c r="L377" s="48" t="str">
        <f t="shared" si="91"/>
        <v/>
      </c>
      <c r="M377" s="48" t="str">
        <f t="shared" si="91"/>
        <v/>
      </c>
      <c r="N377" s="48" t="str">
        <f t="shared" si="91"/>
        <v/>
      </c>
      <c r="O377" s="48" t="str">
        <f t="shared" si="91"/>
        <v/>
      </c>
      <c r="P377" s="48" t="str">
        <f t="shared" si="91"/>
        <v/>
      </c>
      <c r="Q377" s="48" t="str">
        <f t="shared" si="91"/>
        <v/>
      </c>
    </row>
    <row r="378" spans="2:17" hidden="1" outlineLevel="1">
      <c r="C378" s="9"/>
      <c r="D378" s="7">
        <v>12</v>
      </c>
      <c r="E378" s="310" t="s">
        <v>216</v>
      </c>
      <c r="F378" s="21"/>
      <c r="G378" s="70" t="str">
        <f t="shared" ref="G378:Q378" si="92">IFERROR(+G373/G375,"")</f>
        <v/>
      </c>
      <c r="H378" s="71" t="str">
        <f t="shared" si="92"/>
        <v/>
      </c>
      <c r="I378" s="71" t="str">
        <f t="shared" si="92"/>
        <v/>
      </c>
      <c r="J378" s="71" t="str">
        <f t="shared" si="92"/>
        <v/>
      </c>
      <c r="K378" s="71" t="str">
        <f t="shared" si="92"/>
        <v/>
      </c>
      <c r="L378" s="71" t="str">
        <f t="shared" si="92"/>
        <v/>
      </c>
      <c r="M378" s="71" t="str">
        <f t="shared" si="92"/>
        <v/>
      </c>
      <c r="N378" s="71" t="str">
        <f t="shared" si="92"/>
        <v/>
      </c>
      <c r="O378" s="71" t="str">
        <f t="shared" si="92"/>
        <v/>
      </c>
      <c r="P378" s="71" t="str">
        <f t="shared" si="92"/>
        <v/>
      </c>
      <c r="Q378" s="71" t="str">
        <f t="shared" si="92"/>
        <v/>
      </c>
    </row>
    <row r="379" spans="2:17" hidden="1" outlineLevel="1">
      <c r="D379" s="7">
        <v>13</v>
      </c>
      <c r="E379" s="310" t="s">
        <v>217</v>
      </c>
      <c r="F379" s="21" t="s">
        <v>218</v>
      </c>
      <c r="G379" s="14"/>
      <c r="H379" s="48" t="str">
        <f t="shared" ref="H379:Q379" si="93">IFERROR((H378-G378)/G378,"")</f>
        <v/>
      </c>
      <c r="I379" s="49" t="str">
        <f t="shared" si="93"/>
        <v/>
      </c>
      <c r="J379" s="48" t="str">
        <f t="shared" si="93"/>
        <v/>
      </c>
      <c r="K379" s="48" t="str">
        <f t="shared" si="93"/>
        <v/>
      </c>
      <c r="L379" s="48" t="str">
        <f t="shared" si="93"/>
        <v/>
      </c>
      <c r="M379" s="48" t="str">
        <f t="shared" si="93"/>
        <v/>
      </c>
      <c r="N379" s="48" t="str">
        <f t="shared" si="93"/>
        <v/>
      </c>
      <c r="O379" s="48" t="str">
        <f t="shared" si="93"/>
        <v/>
      </c>
      <c r="P379" s="48" t="str">
        <f t="shared" si="93"/>
        <v/>
      </c>
      <c r="Q379" s="48" t="str">
        <f t="shared" si="93"/>
        <v/>
      </c>
    </row>
    <row r="380" spans="2:17" collapsed="1">
      <c r="E380" s="314"/>
    </row>
    <row r="381" spans="2:17" ht="18.5" thickBot="1">
      <c r="B381" s="69"/>
      <c r="C381" s="46" t="s">
        <v>303</v>
      </c>
      <c r="D381" s="4"/>
      <c r="E381" s="308"/>
      <c r="F381" s="240" t="str">
        <f>IF(G382="","","折りたたまれたセルのグループ（非表示行）を展開して、入力項目を入力してください。")</f>
        <v/>
      </c>
      <c r="L381" s="51"/>
    </row>
    <row r="382" spans="2:17" ht="50.15" customHeight="1" thickBot="1">
      <c r="D382" s="128">
        <v>1</v>
      </c>
      <c r="E382" s="311" t="s">
        <v>275</v>
      </c>
      <c r="F382" s="129"/>
      <c r="G382" s="130" t="str">
        <f>IF($K$102="","",$K$102)</f>
        <v/>
      </c>
    </row>
    <row r="383" spans="2:17" hidden="1" outlineLevel="1">
      <c r="D383" s="52">
        <v>2</v>
      </c>
      <c r="E383" s="312" t="s">
        <v>292</v>
      </c>
      <c r="F383" s="57" t="s">
        <v>241</v>
      </c>
      <c r="G383" s="144"/>
    </row>
    <row r="384" spans="2:17" ht="33" hidden="1" outlineLevel="1">
      <c r="D384" s="52">
        <v>3</v>
      </c>
      <c r="E384" s="312" t="s">
        <v>277</v>
      </c>
      <c r="F384" s="30" t="s">
        <v>241</v>
      </c>
      <c r="G384" s="141"/>
      <c r="K384" s="375" t="s">
        <v>278</v>
      </c>
      <c r="L384" s="375"/>
      <c r="M384" s="375"/>
      <c r="N384" s="375"/>
      <c r="O384" s="196"/>
      <c r="P384" s="195" t="s">
        <v>279</v>
      </c>
      <c r="Q384" s="50" t="s">
        <v>280</v>
      </c>
    </row>
    <row r="385" spans="2:17" hidden="1" outlineLevel="1">
      <c r="D385" s="52">
        <v>4</v>
      </c>
      <c r="E385" s="293" t="s">
        <v>281</v>
      </c>
      <c r="F385" s="19" t="s">
        <v>241</v>
      </c>
      <c r="G385" s="141"/>
      <c r="H385" s="6"/>
      <c r="K385" s="375"/>
      <c r="L385" s="375"/>
      <c r="M385" s="375"/>
      <c r="N385" s="375"/>
      <c r="O385" s="125" t="s">
        <v>282</v>
      </c>
      <c r="P385" s="131" t="str">
        <f>IF(AND(COUNTA($G392:$Q392)&gt;0,SUMIF($G392:$Q392,"&lt;&gt;"&amp;"")=0),"－",IFERROR(((HLOOKUP(EDATE($F$13,36),$G389:$Q397,6,FALSE))/(HLOOKUP(EDATE($F$13,0),$G389:$Q397,6,FALSE)))^(1/3)-1,""))</f>
        <v/>
      </c>
      <c r="Q385" s="376">
        <v>4.4999999999999998E-2</v>
      </c>
    </row>
    <row r="386" spans="2:17" ht="36" hidden="1" outlineLevel="1">
      <c r="D386" s="52">
        <v>5</v>
      </c>
      <c r="E386" s="293" t="s">
        <v>283</v>
      </c>
      <c r="F386" s="19" t="s">
        <v>256</v>
      </c>
      <c r="G386" s="315"/>
      <c r="H386" s="6"/>
      <c r="K386" s="375"/>
      <c r="L386" s="375"/>
      <c r="M386" s="375"/>
      <c r="N386" s="375"/>
      <c r="O386" s="125" t="s">
        <v>284</v>
      </c>
      <c r="P386" s="125" t="str">
        <f>IF(AND(COUNTA($G393:$Q393)&gt;0,SUMIF($G393:$Q393,"&lt;&gt;"&amp;"")=0),"－",IFERROR(((HLOOKUP(EDATE($F$13,36),$G389:$Q397,8,FALSE))/(HLOOKUP(EDATE($F$13,0),$G389:$Q397,8,FALSE)))^(1/3)-1,""))</f>
        <v/>
      </c>
      <c r="Q386" s="377"/>
    </row>
    <row r="387" spans="2:17" hidden="1" outlineLevel="1">
      <c r="D387" s="35"/>
      <c r="E387" s="316" t="s">
        <v>257</v>
      </c>
      <c r="F387" s="34"/>
      <c r="G387" s="1" t="s">
        <v>179</v>
      </c>
    </row>
    <row r="388" spans="2:17" hidden="1" outlineLevel="1">
      <c r="E388" s="308"/>
      <c r="G388" s="64" t="s">
        <v>181</v>
      </c>
      <c r="H388" s="64" t="s">
        <v>182</v>
      </c>
      <c r="I388" s="64" t="s">
        <v>183</v>
      </c>
      <c r="J388" s="132" t="s">
        <v>184</v>
      </c>
      <c r="K388" s="132"/>
      <c r="L388" s="132"/>
      <c r="M388" s="132"/>
      <c r="N388" s="132"/>
      <c r="O388" s="132"/>
      <c r="P388" s="132"/>
      <c r="Q388" s="132"/>
    </row>
    <row r="389" spans="2:17" hidden="1" outlineLevel="1">
      <c r="D389" s="11"/>
      <c r="E389" s="206"/>
      <c r="F389" s="56"/>
      <c r="G389" s="63" t="str">
        <f>IF($I389="","",EDATE(H389,-12))</f>
        <v/>
      </c>
      <c r="H389" s="63" t="str">
        <f>IF($I389="","",EDATE(I389,-12))</f>
        <v/>
      </c>
      <c r="I389" s="63" t="str">
        <f>IF($I$12="","",$I$12)</f>
        <v/>
      </c>
      <c r="J389" s="63" t="str">
        <f t="shared" ref="J389:Q389" si="94">IF($I389="","",EDATE(I389,12))</f>
        <v/>
      </c>
      <c r="K389" s="63" t="str">
        <f t="shared" si="94"/>
        <v/>
      </c>
      <c r="L389" s="63" t="str">
        <f t="shared" si="94"/>
        <v/>
      </c>
      <c r="M389" s="63" t="str">
        <f t="shared" si="94"/>
        <v/>
      </c>
      <c r="N389" s="63" t="str">
        <f t="shared" si="94"/>
        <v/>
      </c>
      <c r="O389" s="63" t="str">
        <f t="shared" si="94"/>
        <v/>
      </c>
      <c r="P389" s="63" t="str">
        <f t="shared" si="94"/>
        <v/>
      </c>
      <c r="Q389" s="63" t="str">
        <f t="shared" si="94"/>
        <v/>
      </c>
    </row>
    <row r="390" spans="2:17" hidden="1" outlineLevel="1">
      <c r="D390" s="52">
        <v>6</v>
      </c>
      <c r="E390" s="293" t="s">
        <v>206</v>
      </c>
      <c r="F390" s="55"/>
      <c r="G390" s="138"/>
      <c r="H390" s="138"/>
      <c r="I390" s="138"/>
      <c r="J390" s="138"/>
      <c r="K390" s="138"/>
      <c r="L390" s="138"/>
      <c r="M390" s="138"/>
      <c r="N390" s="138"/>
      <c r="O390" s="138"/>
      <c r="P390" s="106"/>
      <c r="Q390" s="106"/>
    </row>
    <row r="391" spans="2:17" hidden="1" outlineLevel="1">
      <c r="C391" s="9"/>
      <c r="D391" s="52">
        <v>7</v>
      </c>
      <c r="E391" s="293" t="s">
        <v>207</v>
      </c>
      <c r="F391" s="55"/>
      <c r="G391" s="138"/>
      <c r="H391" s="106"/>
      <c r="I391" s="139"/>
      <c r="J391" s="106"/>
      <c r="K391" s="106"/>
      <c r="L391" s="154"/>
      <c r="M391" s="106"/>
      <c r="N391" s="106"/>
      <c r="O391" s="106"/>
      <c r="P391" s="106"/>
      <c r="Q391" s="106"/>
    </row>
    <row r="392" spans="2:17" hidden="1" outlineLevel="1">
      <c r="C392" s="9"/>
      <c r="D392" s="5">
        <v>8</v>
      </c>
      <c r="E392" s="303" t="s">
        <v>210</v>
      </c>
      <c r="F392" s="20" t="s">
        <v>211</v>
      </c>
      <c r="G392" s="306"/>
      <c r="H392" s="306"/>
      <c r="I392" s="306"/>
      <c r="J392" s="306"/>
      <c r="K392" s="306"/>
      <c r="L392" s="306"/>
      <c r="M392" s="306"/>
      <c r="N392" s="306"/>
      <c r="O392" s="306"/>
      <c r="P392" s="229"/>
      <c r="Q392" s="229"/>
    </row>
    <row r="393" spans="2:17" hidden="1" outlineLevel="1">
      <c r="C393" s="9"/>
      <c r="D393" s="52">
        <v>9</v>
      </c>
      <c r="E393" s="293" t="s">
        <v>212</v>
      </c>
      <c r="F393" s="55" t="s">
        <v>287</v>
      </c>
      <c r="G393" s="306"/>
      <c r="H393" s="229"/>
      <c r="I393" s="307"/>
      <c r="J393" s="229"/>
      <c r="K393" s="229"/>
      <c r="L393" s="229"/>
      <c r="M393" s="229"/>
      <c r="N393" s="229"/>
      <c r="O393" s="229"/>
      <c r="P393" s="229"/>
      <c r="Q393" s="229"/>
    </row>
    <row r="394" spans="2:17" hidden="1" outlineLevel="1">
      <c r="C394" s="9"/>
      <c r="D394" s="7">
        <v>10</v>
      </c>
      <c r="E394" s="310" t="s">
        <v>213</v>
      </c>
      <c r="F394" s="22"/>
      <c r="G394" s="12" t="str">
        <f>IFERROR(+G390/G392,"")</f>
        <v/>
      </c>
      <c r="H394" s="13" t="str">
        <f>IFERROR(+H390/H392,"")</f>
        <v/>
      </c>
      <c r="I394" s="16" t="str">
        <f t="shared" ref="I394:Q394" si="95">IFERROR(+I390/I392,"")</f>
        <v/>
      </c>
      <c r="J394" s="13" t="str">
        <f t="shared" si="95"/>
        <v/>
      </c>
      <c r="K394" s="13" t="str">
        <f t="shared" si="95"/>
        <v/>
      </c>
      <c r="L394" s="13" t="str">
        <f t="shared" si="95"/>
        <v/>
      </c>
      <c r="M394" s="13" t="str">
        <f t="shared" si="95"/>
        <v/>
      </c>
      <c r="N394" s="13" t="str">
        <f t="shared" si="95"/>
        <v/>
      </c>
      <c r="O394" s="13" t="str">
        <f t="shared" si="95"/>
        <v/>
      </c>
      <c r="P394" s="13" t="str">
        <f t="shared" si="95"/>
        <v/>
      </c>
      <c r="Q394" s="13" t="str">
        <f t="shared" si="95"/>
        <v/>
      </c>
    </row>
    <row r="395" spans="2:17" hidden="1" outlineLevel="1">
      <c r="C395" s="9"/>
      <c r="D395" s="7">
        <v>11</v>
      </c>
      <c r="E395" s="310" t="s">
        <v>214</v>
      </c>
      <c r="F395" s="22" t="s">
        <v>215</v>
      </c>
      <c r="G395" s="14"/>
      <c r="H395" s="48" t="str">
        <f t="shared" ref="H395:Q395" si="96">IFERROR((H394-G394)/G394,"")</f>
        <v/>
      </c>
      <c r="I395" s="49" t="str">
        <f t="shared" si="96"/>
        <v/>
      </c>
      <c r="J395" s="48" t="str">
        <f t="shared" si="96"/>
        <v/>
      </c>
      <c r="K395" s="48" t="str">
        <f>IFERROR((K394-J394)/J394,"")</f>
        <v/>
      </c>
      <c r="L395" s="48" t="str">
        <f t="shared" si="96"/>
        <v/>
      </c>
      <c r="M395" s="48" t="str">
        <f t="shared" si="96"/>
        <v/>
      </c>
      <c r="N395" s="48" t="str">
        <f t="shared" si="96"/>
        <v/>
      </c>
      <c r="O395" s="48" t="str">
        <f t="shared" si="96"/>
        <v/>
      </c>
      <c r="P395" s="48" t="str">
        <f t="shared" si="96"/>
        <v/>
      </c>
      <c r="Q395" s="48" t="str">
        <f t="shared" si="96"/>
        <v/>
      </c>
    </row>
    <row r="396" spans="2:17" hidden="1" outlineLevel="1">
      <c r="C396" s="9"/>
      <c r="D396" s="7">
        <v>12</v>
      </c>
      <c r="E396" s="310" t="s">
        <v>216</v>
      </c>
      <c r="F396" s="21"/>
      <c r="G396" s="70" t="str">
        <f t="shared" ref="G396:Q396" si="97">IFERROR(+G391/G393,"")</f>
        <v/>
      </c>
      <c r="H396" s="71" t="str">
        <f t="shared" si="97"/>
        <v/>
      </c>
      <c r="I396" s="71" t="str">
        <f t="shared" si="97"/>
        <v/>
      </c>
      <c r="J396" s="71" t="str">
        <f t="shared" si="97"/>
        <v/>
      </c>
      <c r="K396" s="71" t="str">
        <f t="shared" si="97"/>
        <v/>
      </c>
      <c r="L396" s="71" t="str">
        <f t="shared" si="97"/>
        <v/>
      </c>
      <c r="M396" s="71" t="str">
        <f t="shared" si="97"/>
        <v/>
      </c>
      <c r="N396" s="71" t="str">
        <f t="shared" si="97"/>
        <v/>
      </c>
      <c r="O396" s="71" t="str">
        <f t="shared" si="97"/>
        <v/>
      </c>
      <c r="P396" s="71" t="str">
        <f t="shared" si="97"/>
        <v/>
      </c>
      <c r="Q396" s="71" t="str">
        <f t="shared" si="97"/>
        <v/>
      </c>
    </row>
    <row r="397" spans="2:17" hidden="1" outlineLevel="1">
      <c r="D397" s="7">
        <v>13</v>
      </c>
      <c r="E397" s="310" t="s">
        <v>217</v>
      </c>
      <c r="F397" s="21" t="s">
        <v>218</v>
      </c>
      <c r="G397" s="14"/>
      <c r="H397" s="48" t="str">
        <f t="shared" ref="H397:Q397" si="98">IFERROR((H396-G396)/G396,"")</f>
        <v/>
      </c>
      <c r="I397" s="49" t="str">
        <f t="shared" si="98"/>
        <v/>
      </c>
      <c r="J397" s="48" t="str">
        <f t="shared" si="98"/>
        <v/>
      </c>
      <c r="K397" s="48" t="str">
        <f t="shared" si="98"/>
        <v/>
      </c>
      <c r="L397" s="48" t="str">
        <f t="shared" si="98"/>
        <v/>
      </c>
      <c r="M397" s="48" t="str">
        <f t="shared" si="98"/>
        <v/>
      </c>
      <c r="N397" s="48" t="str">
        <f t="shared" si="98"/>
        <v/>
      </c>
      <c r="O397" s="48" t="str">
        <f t="shared" si="98"/>
        <v/>
      </c>
      <c r="P397" s="48" t="str">
        <f t="shared" si="98"/>
        <v/>
      </c>
      <c r="Q397" s="48" t="str">
        <f t="shared" si="98"/>
        <v/>
      </c>
    </row>
    <row r="398" spans="2:17" collapsed="1">
      <c r="E398" s="314"/>
    </row>
    <row r="399" spans="2:17" ht="18.5" thickBot="1">
      <c r="B399" s="69"/>
      <c r="C399" s="46" t="s">
        <v>304</v>
      </c>
      <c r="D399" s="4"/>
      <c r="E399" s="308"/>
      <c r="F399" s="240" t="str">
        <f>IF(G400="","","折りたたまれたセルのグループ（非表示行）を展開して、入力項目を入力してください。")</f>
        <v/>
      </c>
      <c r="L399" s="51"/>
    </row>
    <row r="400" spans="2:17" ht="50.15" customHeight="1" thickBot="1">
      <c r="D400" s="128">
        <v>1</v>
      </c>
      <c r="E400" s="311" t="s">
        <v>275</v>
      </c>
      <c r="F400" s="129"/>
      <c r="G400" s="130" t="str">
        <f>IF($L$102="","",$L$102)</f>
        <v/>
      </c>
    </row>
    <row r="401" spans="3:17" hidden="1" outlineLevel="1">
      <c r="D401" s="52">
        <v>2</v>
      </c>
      <c r="E401" s="312" t="s">
        <v>292</v>
      </c>
      <c r="F401" s="57" t="s">
        <v>241</v>
      </c>
      <c r="G401" s="144"/>
    </row>
    <row r="402" spans="3:17" ht="33" hidden="1" outlineLevel="1">
      <c r="D402" s="52">
        <v>3</v>
      </c>
      <c r="E402" s="312" t="s">
        <v>277</v>
      </c>
      <c r="F402" s="30" t="s">
        <v>241</v>
      </c>
      <c r="G402" s="141"/>
      <c r="K402" s="375" t="s">
        <v>278</v>
      </c>
      <c r="L402" s="375"/>
      <c r="M402" s="375"/>
      <c r="N402" s="375"/>
      <c r="O402" s="196"/>
      <c r="P402" s="195" t="s">
        <v>279</v>
      </c>
      <c r="Q402" s="50" t="s">
        <v>280</v>
      </c>
    </row>
    <row r="403" spans="3:17" hidden="1" outlineLevel="1">
      <c r="D403" s="52">
        <v>4</v>
      </c>
      <c r="E403" s="293" t="s">
        <v>281</v>
      </c>
      <c r="F403" s="19" t="s">
        <v>241</v>
      </c>
      <c r="G403" s="141"/>
      <c r="H403" s="6"/>
      <c r="K403" s="375"/>
      <c r="L403" s="375"/>
      <c r="M403" s="375"/>
      <c r="N403" s="375"/>
      <c r="O403" s="125" t="s">
        <v>282</v>
      </c>
      <c r="P403" s="131" t="str">
        <f>IF(AND(COUNTA($G410:$Q410)&gt;0,SUMIF($G410:$Q410,"&lt;&gt;"&amp;"")=0),"－",IFERROR(((HLOOKUP(EDATE($F$13,36),$G407:$Q415,6,FALSE))/(HLOOKUP(EDATE($F$13,0),$G407:$Q415,6,FALSE)))^(1/3)-1,""))</f>
        <v/>
      </c>
      <c r="Q403" s="376">
        <v>4.4999999999999998E-2</v>
      </c>
    </row>
    <row r="404" spans="3:17" ht="36" hidden="1" outlineLevel="1">
      <c r="D404" s="52">
        <v>5</v>
      </c>
      <c r="E404" s="293" t="s">
        <v>283</v>
      </c>
      <c r="F404" s="19" t="s">
        <v>256</v>
      </c>
      <c r="G404" s="315"/>
      <c r="H404" s="6"/>
      <c r="K404" s="375"/>
      <c r="L404" s="375"/>
      <c r="M404" s="375"/>
      <c r="N404" s="375"/>
      <c r="O404" s="125" t="s">
        <v>284</v>
      </c>
      <c r="P404" s="125" t="str">
        <f>IF(AND(COUNTA($G411:$Q411)&gt;0,SUMIF($G411:$Q411,"&lt;&gt;"&amp;"")=0),"－",IFERROR(((HLOOKUP(EDATE($F$13,36),$G407:$Q415,8,FALSE))/(HLOOKUP(EDATE($F$13,0),$G407:$Q415,8,FALSE)))^(1/3)-1,""))</f>
        <v/>
      </c>
      <c r="Q404" s="377"/>
    </row>
    <row r="405" spans="3:17" hidden="1" outlineLevel="1">
      <c r="D405" s="35"/>
      <c r="E405" s="316" t="s">
        <v>257</v>
      </c>
      <c r="F405" s="34"/>
      <c r="G405" s="1" t="s">
        <v>179</v>
      </c>
    </row>
    <row r="406" spans="3:17" hidden="1" outlineLevel="1">
      <c r="E406" s="308"/>
      <c r="G406" s="64" t="s">
        <v>181</v>
      </c>
      <c r="H406" s="64" t="s">
        <v>182</v>
      </c>
      <c r="I406" s="64" t="s">
        <v>183</v>
      </c>
      <c r="J406" s="132" t="s">
        <v>184</v>
      </c>
      <c r="K406" s="132"/>
      <c r="L406" s="132"/>
      <c r="M406" s="132"/>
      <c r="N406" s="132"/>
      <c r="O406" s="132"/>
      <c r="P406" s="132"/>
      <c r="Q406" s="132"/>
    </row>
    <row r="407" spans="3:17" hidden="1" outlineLevel="1">
      <c r="D407" s="11"/>
      <c r="E407" s="206"/>
      <c r="F407" s="56"/>
      <c r="G407" s="63" t="str">
        <f>IF($I407="","",EDATE(H407,-12))</f>
        <v/>
      </c>
      <c r="H407" s="63" t="str">
        <f>IF($I407="","",EDATE(I407,-12))</f>
        <v/>
      </c>
      <c r="I407" s="63" t="str">
        <f>IF($I$12="","",$I$12)</f>
        <v/>
      </c>
      <c r="J407" s="63" t="str">
        <f t="shared" ref="J407:Q407" si="99">IF($I407="","",EDATE(I407,12))</f>
        <v/>
      </c>
      <c r="K407" s="63" t="str">
        <f t="shared" si="99"/>
        <v/>
      </c>
      <c r="L407" s="63" t="str">
        <f t="shared" si="99"/>
        <v/>
      </c>
      <c r="M407" s="63" t="str">
        <f t="shared" si="99"/>
        <v/>
      </c>
      <c r="N407" s="63" t="str">
        <f t="shared" si="99"/>
        <v/>
      </c>
      <c r="O407" s="63" t="str">
        <f t="shared" si="99"/>
        <v/>
      </c>
      <c r="P407" s="63" t="str">
        <f t="shared" si="99"/>
        <v/>
      </c>
      <c r="Q407" s="63" t="str">
        <f t="shared" si="99"/>
        <v/>
      </c>
    </row>
    <row r="408" spans="3:17" hidden="1" outlineLevel="1">
      <c r="D408" s="52">
        <v>6</v>
      </c>
      <c r="E408" s="293" t="s">
        <v>206</v>
      </c>
      <c r="F408" s="55"/>
      <c r="G408" s="138"/>
      <c r="H408" s="138"/>
      <c r="I408" s="138"/>
      <c r="J408" s="138"/>
      <c r="K408" s="138"/>
      <c r="L408" s="138"/>
      <c r="M408" s="138"/>
      <c r="N408" s="138"/>
      <c r="O408" s="138"/>
      <c r="P408" s="106"/>
      <c r="Q408" s="106"/>
    </row>
    <row r="409" spans="3:17" hidden="1" outlineLevel="1">
      <c r="C409" s="9"/>
      <c r="D409" s="52">
        <v>7</v>
      </c>
      <c r="E409" s="293" t="s">
        <v>207</v>
      </c>
      <c r="F409" s="55"/>
      <c r="G409" s="138"/>
      <c r="H409" s="106"/>
      <c r="I409" s="139"/>
      <c r="J409" s="106"/>
      <c r="K409" s="106"/>
      <c r="L409" s="154"/>
      <c r="M409" s="106"/>
      <c r="N409" s="106"/>
      <c r="O409" s="106"/>
      <c r="P409" s="106"/>
      <c r="Q409" s="106"/>
    </row>
    <row r="410" spans="3:17" hidden="1" outlineLevel="1">
      <c r="C410" s="9"/>
      <c r="D410" s="5">
        <v>8</v>
      </c>
      <c r="E410" s="303" t="s">
        <v>210</v>
      </c>
      <c r="F410" s="20" t="s">
        <v>211</v>
      </c>
      <c r="G410" s="306"/>
      <c r="H410" s="306"/>
      <c r="I410" s="306"/>
      <c r="J410" s="306"/>
      <c r="K410" s="306"/>
      <c r="L410" s="306"/>
      <c r="M410" s="306"/>
      <c r="N410" s="306"/>
      <c r="O410" s="306"/>
      <c r="P410" s="229"/>
      <c r="Q410" s="229"/>
    </row>
    <row r="411" spans="3:17" hidden="1" outlineLevel="1">
      <c r="C411" s="9"/>
      <c r="D411" s="52">
        <v>9</v>
      </c>
      <c r="E411" s="293" t="s">
        <v>212</v>
      </c>
      <c r="F411" s="55" t="s">
        <v>287</v>
      </c>
      <c r="G411" s="306"/>
      <c r="H411" s="229"/>
      <c r="I411" s="307"/>
      <c r="J411" s="229"/>
      <c r="K411" s="229"/>
      <c r="L411" s="229"/>
      <c r="M411" s="229"/>
      <c r="N411" s="229"/>
      <c r="O411" s="229"/>
      <c r="P411" s="229"/>
      <c r="Q411" s="229"/>
    </row>
    <row r="412" spans="3:17" hidden="1" outlineLevel="1">
      <c r="C412" s="9"/>
      <c r="D412" s="7">
        <v>10</v>
      </c>
      <c r="E412" s="310" t="s">
        <v>213</v>
      </c>
      <c r="F412" s="22"/>
      <c r="G412" s="12" t="str">
        <f>IFERROR(+G408/G410,"")</f>
        <v/>
      </c>
      <c r="H412" s="13" t="str">
        <f>IFERROR(+H408/H410,"")</f>
        <v/>
      </c>
      <c r="I412" s="16" t="str">
        <f t="shared" ref="I412:Q412" si="100">IFERROR(+I408/I410,"")</f>
        <v/>
      </c>
      <c r="J412" s="13" t="str">
        <f t="shared" si="100"/>
        <v/>
      </c>
      <c r="K412" s="13" t="str">
        <f t="shared" si="100"/>
        <v/>
      </c>
      <c r="L412" s="13" t="str">
        <f t="shared" si="100"/>
        <v/>
      </c>
      <c r="M412" s="13" t="str">
        <f t="shared" si="100"/>
        <v/>
      </c>
      <c r="N412" s="13" t="str">
        <f t="shared" si="100"/>
        <v/>
      </c>
      <c r="O412" s="13" t="str">
        <f t="shared" si="100"/>
        <v/>
      </c>
      <c r="P412" s="13" t="str">
        <f t="shared" si="100"/>
        <v/>
      </c>
      <c r="Q412" s="13" t="str">
        <f t="shared" si="100"/>
        <v/>
      </c>
    </row>
    <row r="413" spans="3:17" hidden="1" outlineLevel="1">
      <c r="C413" s="9"/>
      <c r="D413" s="7">
        <v>11</v>
      </c>
      <c r="E413" s="310" t="s">
        <v>214</v>
      </c>
      <c r="F413" s="22" t="s">
        <v>215</v>
      </c>
      <c r="G413" s="14"/>
      <c r="H413" s="48" t="str">
        <f t="shared" ref="H413:Q413" si="101">IFERROR((H412-G412)/G412,"")</f>
        <v/>
      </c>
      <c r="I413" s="49" t="str">
        <f t="shared" si="101"/>
        <v/>
      </c>
      <c r="J413" s="48" t="str">
        <f t="shared" si="101"/>
        <v/>
      </c>
      <c r="K413" s="48" t="str">
        <f>IFERROR((K412-J412)/J412,"")</f>
        <v/>
      </c>
      <c r="L413" s="48" t="str">
        <f t="shared" si="101"/>
        <v/>
      </c>
      <c r="M413" s="48" t="str">
        <f t="shared" si="101"/>
        <v/>
      </c>
      <c r="N413" s="48" t="str">
        <f t="shared" si="101"/>
        <v/>
      </c>
      <c r="O413" s="48" t="str">
        <f t="shared" si="101"/>
        <v/>
      </c>
      <c r="P413" s="48" t="str">
        <f t="shared" si="101"/>
        <v/>
      </c>
      <c r="Q413" s="48" t="str">
        <f t="shared" si="101"/>
        <v/>
      </c>
    </row>
    <row r="414" spans="3:17" hidden="1" outlineLevel="1">
      <c r="C414" s="9"/>
      <c r="D414" s="7">
        <v>12</v>
      </c>
      <c r="E414" s="310" t="s">
        <v>216</v>
      </c>
      <c r="F414" s="21"/>
      <c r="G414" s="70" t="str">
        <f t="shared" ref="G414:Q414" si="102">IFERROR(+G409/G411,"")</f>
        <v/>
      </c>
      <c r="H414" s="71" t="str">
        <f t="shared" si="102"/>
        <v/>
      </c>
      <c r="I414" s="71" t="str">
        <f t="shared" si="102"/>
        <v/>
      </c>
      <c r="J414" s="71" t="str">
        <f t="shared" si="102"/>
        <v/>
      </c>
      <c r="K414" s="71" t="str">
        <f t="shared" si="102"/>
        <v/>
      </c>
      <c r="L414" s="71" t="str">
        <f t="shared" si="102"/>
        <v/>
      </c>
      <c r="M414" s="71" t="str">
        <f t="shared" si="102"/>
        <v/>
      </c>
      <c r="N414" s="71" t="str">
        <f t="shared" si="102"/>
        <v/>
      </c>
      <c r="O414" s="71" t="str">
        <f t="shared" si="102"/>
        <v/>
      </c>
      <c r="P414" s="71" t="str">
        <f t="shared" si="102"/>
        <v/>
      </c>
      <c r="Q414" s="71" t="str">
        <f t="shared" si="102"/>
        <v/>
      </c>
    </row>
    <row r="415" spans="3:17" hidden="1" outlineLevel="1">
      <c r="D415" s="7">
        <v>13</v>
      </c>
      <c r="E415" s="310" t="s">
        <v>217</v>
      </c>
      <c r="F415" s="21" t="s">
        <v>218</v>
      </c>
      <c r="G415" s="14"/>
      <c r="H415" s="48" t="str">
        <f t="shared" ref="H415:Q415" si="103">IFERROR((H414-G414)/G414,"")</f>
        <v/>
      </c>
      <c r="I415" s="49" t="str">
        <f t="shared" si="103"/>
        <v/>
      </c>
      <c r="J415" s="48" t="str">
        <f t="shared" si="103"/>
        <v/>
      </c>
      <c r="K415" s="48" t="str">
        <f t="shared" si="103"/>
        <v/>
      </c>
      <c r="L415" s="48" t="str">
        <f t="shared" si="103"/>
        <v/>
      </c>
      <c r="M415" s="48" t="str">
        <f t="shared" si="103"/>
        <v/>
      </c>
      <c r="N415" s="48" t="str">
        <f t="shared" si="103"/>
        <v/>
      </c>
      <c r="O415" s="48" t="str">
        <f t="shared" si="103"/>
        <v/>
      </c>
      <c r="P415" s="48" t="str">
        <f t="shared" si="103"/>
        <v/>
      </c>
      <c r="Q415" s="48" t="str">
        <f t="shared" si="103"/>
        <v/>
      </c>
    </row>
    <row r="416" spans="3:17" collapsed="1">
      <c r="E416" s="314"/>
    </row>
    <row r="417" spans="2:17" ht="18.5" thickBot="1">
      <c r="B417" s="69"/>
      <c r="C417" s="46" t="s">
        <v>305</v>
      </c>
      <c r="D417" s="4"/>
      <c r="E417" s="308"/>
      <c r="F417" s="240" t="str">
        <f>IF(G418="","","折りたたまれたセルのグループ（非表示行）を展開して、入力項目を入力してください。")</f>
        <v/>
      </c>
      <c r="L417" s="51"/>
    </row>
    <row r="418" spans="2:17" ht="50.15" customHeight="1" thickBot="1">
      <c r="D418" s="128">
        <v>1</v>
      </c>
      <c r="E418" s="311" t="s">
        <v>275</v>
      </c>
      <c r="F418" s="129"/>
      <c r="G418" s="130" t="str">
        <f>IF($M$102="","",$M$102)</f>
        <v/>
      </c>
    </row>
    <row r="419" spans="2:17" hidden="1" outlineLevel="1">
      <c r="D419" s="52">
        <v>2</v>
      </c>
      <c r="E419" s="312" t="s">
        <v>292</v>
      </c>
      <c r="F419" s="57" t="s">
        <v>241</v>
      </c>
      <c r="G419" s="144"/>
    </row>
    <row r="420" spans="2:17" ht="33" hidden="1" outlineLevel="1">
      <c r="D420" s="52">
        <v>3</v>
      </c>
      <c r="E420" s="312" t="s">
        <v>277</v>
      </c>
      <c r="F420" s="30" t="s">
        <v>241</v>
      </c>
      <c r="G420" s="141"/>
      <c r="K420" s="375" t="s">
        <v>278</v>
      </c>
      <c r="L420" s="375"/>
      <c r="M420" s="375"/>
      <c r="N420" s="375"/>
      <c r="O420" s="196"/>
      <c r="P420" s="195" t="s">
        <v>279</v>
      </c>
      <c r="Q420" s="50" t="s">
        <v>280</v>
      </c>
    </row>
    <row r="421" spans="2:17" hidden="1" outlineLevel="1">
      <c r="D421" s="52">
        <v>4</v>
      </c>
      <c r="E421" s="293" t="s">
        <v>281</v>
      </c>
      <c r="F421" s="19" t="s">
        <v>241</v>
      </c>
      <c r="G421" s="141"/>
      <c r="H421" s="6"/>
      <c r="K421" s="375"/>
      <c r="L421" s="375"/>
      <c r="M421" s="375"/>
      <c r="N421" s="375"/>
      <c r="O421" s="125" t="s">
        <v>282</v>
      </c>
      <c r="P421" s="131" t="str">
        <f>IF(AND(COUNTA($G428:$Q428)&gt;0,SUMIF($G428:$Q428,"&lt;&gt;"&amp;"")=0),"－",IFERROR(((HLOOKUP(EDATE($F$13,36),$G425:$Q433,6,FALSE))/(HLOOKUP(EDATE($F$13,0),$G425:$Q433,6,FALSE)))^(1/3)-1,""))</f>
        <v/>
      </c>
      <c r="Q421" s="376">
        <v>4.4999999999999998E-2</v>
      </c>
    </row>
    <row r="422" spans="2:17" ht="36" hidden="1" outlineLevel="1">
      <c r="D422" s="52">
        <v>5</v>
      </c>
      <c r="E422" s="293" t="s">
        <v>283</v>
      </c>
      <c r="F422" s="19" t="s">
        <v>256</v>
      </c>
      <c r="G422" s="315"/>
      <c r="H422" s="6"/>
      <c r="K422" s="375"/>
      <c r="L422" s="375"/>
      <c r="M422" s="375"/>
      <c r="N422" s="375"/>
      <c r="O422" s="125" t="s">
        <v>284</v>
      </c>
      <c r="P422" s="125" t="str">
        <f>IF(AND(COUNTA($G429:$Q429)&gt;0,SUMIF($G429:$Q429,"&lt;&gt;"&amp;"")=0),"－",IFERROR(((HLOOKUP(EDATE($F$13,36),$G425:$Q433,8,FALSE))/(HLOOKUP(EDATE($F$13,0),$G425:$Q433,8,FALSE)))^(1/3)-1,""))</f>
        <v/>
      </c>
      <c r="Q422" s="377"/>
    </row>
    <row r="423" spans="2:17" hidden="1" outlineLevel="1">
      <c r="D423" s="35"/>
      <c r="E423" s="316" t="s">
        <v>257</v>
      </c>
      <c r="F423" s="34"/>
      <c r="G423" s="1" t="s">
        <v>179</v>
      </c>
    </row>
    <row r="424" spans="2:17" hidden="1" outlineLevel="1">
      <c r="E424" s="308"/>
      <c r="G424" s="64" t="s">
        <v>181</v>
      </c>
      <c r="H424" s="64" t="s">
        <v>182</v>
      </c>
      <c r="I424" s="64" t="s">
        <v>183</v>
      </c>
      <c r="J424" s="132" t="s">
        <v>184</v>
      </c>
      <c r="K424" s="132"/>
      <c r="L424" s="132"/>
      <c r="M424" s="132"/>
      <c r="N424" s="132"/>
      <c r="O424" s="132"/>
      <c r="P424" s="132"/>
      <c r="Q424" s="132"/>
    </row>
    <row r="425" spans="2:17" hidden="1" outlineLevel="1">
      <c r="D425" s="11"/>
      <c r="E425" s="206"/>
      <c r="F425" s="56"/>
      <c r="G425" s="63" t="str">
        <f>IF($I425="","",EDATE(H425,-12))</f>
        <v/>
      </c>
      <c r="H425" s="63" t="str">
        <f>IF($I425="","",EDATE(I425,-12))</f>
        <v/>
      </c>
      <c r="I425" s="63" t="str">
        <f>IF($I$12="","",$I$12)</f>
        <v/>
      </c>
      <c r="J425" s="63" t="str">
        <f t="shared" ref="J425:Q425" si="104">IF($I425="","",EDATE(I425,12))</f>
        <v/>
      </c>
      <c r="K425" s="63" t="str">
        <f t="shared" si="104"/>
        <v/>
      </c>
      <c r="L425" s="63" t="str">
        <f t="shared" si="104"/>
        <v/>
      </c>
      <c r="M425" s="63" t="str">
        <f t="shared" si="104"/>
        <v/>
      </c>
      <c r="N425" s="63" t="str">
        <f t="shared" si="104"/>
        <v/>
      </c>
      <c r="O425" s="63" t="str">
        <f t="shared" si="104"/>
        <v/>
      </c>
      <c r="P425" s="63" t="str">
        <f t="shared" si="104"/>
        <v/>
      </c>
      <c r="Q425" s="63" t="str">
        <f t="shared" si="104"/>
        <v/>
      </c>
    </row>
    <row r="426" spans="2:17" hidden="1" outlineLevel="1">
      <c r="D426" s="52">
        <v>6</v>
      </c>
      <c r="E426" s="293" t="s">
        <v>206</v>
      </c>
      <c r="F426" s="55"/>
      <c r="G426" s="138"/>
      <c r="H426" s="138"/>
      <c r="I426" s="138"/>
      <c r="J426" s="138"/>
      <c r="K426" s="138"/>
      <c r="L426" s="138"/>
      <c r="M426" s="138"/>
      <c r="N426" s="138"/>
      <c r="O426" s="138"/>
      <c r="P426" s="106"/>
      <c r="Q426" s="106"/>
    </row>
    <row r="427" spans="2:17" hidden="1" outlineLevel="1">
      <c r="C427" s="9"/>
      <c r="D427" s="52">
        <v>7</v>
      </c>
      <c r="E427" s="293" t="s">
        <v>207</v>
      </c>
      <c r="F427" s="55"/>
      <c r="G427" s="138"/>
      <c r="H427" s="106"/>
      <c r="I427" s="139"/>
      <c r="J427" s="106"/>
      <c r="K427" s="106"/>
      <c r="L427" s="154"/>
      <c r="M427" s="106"/>
      <c r="N427" s="106"/>
      <c r="O427" s="106"/>
      <c r="P427" s="106"/>
      <c r="Q427" s="106"/>
    </row>
    <row r="428" spans="2:17" hidden="1" outlineLevel="1">
      <c r="C428" s="9"/>
      <c r="D428" s="5">
        <v>8</v>
      </c>
      <c r="E428" s="303" t="s">
        <v>210</v>
      </c>
      <c r="F428" s="20" t="s">
        <v>211</v>
      </c>
      <c r="G428" s="306"/>
      <c r="H428" s="306"/>
      <c r="I428" s="306"/>
      <c r="J428" s="306"/>
      <c r="K428" s="306"/>
      <c r="L428" s="306"/>
      <c r="M428" s="306"/>
      <c r="N428" s="306"/>
      <c r="O428" s="306"/>
      <c r="P428" s="229"/>
      <c r="Q428" s="229"/>
    </row>
    <row r="429" spans="2:17" hidden="1" outlineLevel="1">
      <c r="C429" s="9"/>
      <c r="D429" s="52">
        <v>9</v>
      </c>
      <c r="E429" s="293" t="s">
        <v>212</v>
      </c>
      <c r="F429" s="55" t="s">
        <v>287</v>
      </c>
      <c r="G429" s="306"/>
      <c r="H429" s="229"/>
      <c r="I429" s="307"/>
      <c r="J429" s="229"/>
      <c r="K429" s="229"/>
      <c r="L429" s="229"/>
      <c r="M429" s="229"/>
      <c r="N429" s="229"/>
      <c r="O429" s="229"/>
      <c r="P429" s="229"/>
      <c r="Q429" s="229"/>
    </row>
    <row r="430" spans="2:17" hidden="1" outlineLevel="1">
      <c r="C430" s="9"/>
      <c r="D430" s="7">
        <v>10</v>
      </c>
      <c r="E430" s="310" t="s">
        <v>213</v>
      </c>
      <c r="F430" s="22"/>
      <c r="G430" s="12" t="str">
        <f>IFERROR(+G426/G428,"")</f>
        <v/>
      </c>
      <c r="H430" s="13" t="str">
        <f>IFERROR(+H426/H428,"")</f>
        <v/>
      </c>
      <c r="I430" s="16" t="str">
        <f t="shared" ref="I430:Q430" si="105">IFERROR(+I426/I428,"")</f>
        <v/>
      </c>
      <c r="J430" s="13" t="str">
        <f t="shared" si="105"/>
        <v/>
      </c>
      <c r="K430" s="13" t="str">
        <f t="shared" si="105"/>
        <v/>
      </c>
      <c r="L430" s="13" t="str">
        <f t="shared" si="105"/>
        <v/>
      </c>
      <c r="M430" s="13" t="str">
        <f t="shared" si="105"/>
        <v/>
      </c>
      <c r="N430" s="13" t="str">
        <f t="shared" si="105"/>
        <v/>
      </c>
      <c r="O430" s="13" t="str">
        <f t="shared" si="105"/>
        <v/>
      </c>
      <c r="P430" s="13" t="str">
        <f t="shared" si="105"/>
        <v/>
      </c>
      <c r="Q430" s="13" t="str">
        <f t="shared" si="105"/>
        <v/>
      </c>
    </row>
    <row r="431" spans="2:17" hidden="1" outlineLevel="1">
      <c r="C431" s="9"/>
      <c r="D431" s="7">
        <v>11</v>
      </c>
      <c r="E431" s="310" t="s">
        <v>214</v>
      </c>
      <c r="F431" s="22" t="s">
        <v>215</v>
      </c>
      <c r="G431" s="14"/>
      <c r="H431" s="48" t="str">
        <f t="shared" ref="H431:Q431" si="106">IFERROR((H430-G430)/G430,"")</f>
        <v/>
      </c>
      <c r="I431" s="49" t="str">
        <f t="shared" si="106"/>
        <v/>
      </c>
      <c r="J431" s="48" t="str">
        <f t="shared" si="106"/>
        <v/>
      </c>
      <c r="K431" s="48" t="str">
        <f>IFERROR((K430-J430)/J430,"")</f>
        <v/>
      </c>
      <c r="L431" s="48" t="str">
        <f t="shared" si="106"/>
        <v/>
      </c>
      <c r="M431" s="48" t="str">
        <f t="shared" si="106"/>
        <v/>
      </c>
      <c r="N431" s="48" t="str">
        <f t="shared" si="106"/>
        <v/>
      </c>
      <c r="O431" s="48" t="str">
        <f t="shared" si="106"/>
        <v/>
      </c>
      <c r="P431" s="48" t="str">
        <f t="shared" si="106"/>
        <v/>
      </c>
      <c r="Q431" s="48" t="str">
        <f t="shared" si="106"/>
        <v/>
      </c>
    </row>
    <row r="432" spans="2:17" hidden="1" outlineLevel="1">
      <c r="C432" s="9"/>
      <c r="D432" s="7">
        <v>12</v>
      </c>
      <c r="E432" s="310" t="s">
        <v>216</v>
      </c>
      <c r="F432" s="21"/>
      <c r="G432" s="70" t="str">
        <f t="shared" ref="G432:Q432" si="107">IFERROR(+G427/G429,"")</f>
        <v/>
      </c>
      <c r="H432" s="71" t="str">
        <f t="shared" si="107"/>
        <v/>
      </c>
      <c r="I432" s="71" t="str">
        <f t="shared" si="107"/>
        <v/>
      </c>
      <c r="J432" s="71" t="str">
        <f t="shared" si="107"/>
        <v/>
      </c>
      <c r="K432" s="71" t="str">
        <f t="shared" si="107"/>
        <v/>
      </c>
      <c r="L432" s="71" t="str">
        <f t="shared" si="107"/>
        <v/>
      </c>
      <c r="M432" s="71" t="str">
        <f t="shared" si="107"/>
        <v/>
      </c>
      <c r="N432" s="71" t="str">
        <f t="shared" si="107"/>
        <v/>
      </c>
      <c r="O432" s="71" t="str">
        <f t="shared" si="107"/>
        <v/>
      </c>
      <c r="P432" s="71" t="str">
        <f t="shared" si="107"/>
        <v/>
      </c>
      <c r="Q432" s="71" t="str">
        <f t="shared" si="107"/>
        <v/>
      </c>
    </row>
    <row r="433" spans="2:17" hidden="1" outlineLevel="1">
      <c r="D433" s="7">
        <v>13</v>
      </c>
      <c r="E433" s="310" t="s">
        <v>217</v>
      </c>
      <c r="F433" s="21" t="s">
        <v>218</v>
      </c>
      <c r="G433" s="14"/>
      <c r="H433" s="48" t="str">
        <f t="shared" ref="H433:Q433" si="108">IFERROR((H432-G432)/G432,"")</f>
        <v/>
      </c>
      <c r="I433" s="49" t="str">
        <f t="shared" si="108"/>
        <v/>
      </c>
      <c r="J433" s="48" t="str">
        <f t="shared" si="108"/>
        <v/>
      </c>
      <c r="K433" s="48" t="str">
        <f t="shared" si="108"/>
        <v/>
      </c>
      <c r="L433" s="48" t="str">
        <f t="shared" si="108"/>
        <v/>
      </c>
      <c r="M433" s="48" t="str">
        <f t="shared" si="108"/>
        <v/>
      </c>
      <c r="N433" s="48" t="str">
        <f t="shared" si="108"/>
        <v/>
      </c>
      <c r="O433" s="48" t="str">
        <f t="shared" si="108"/>
        <v/>
      </c>
      <c r="P433" s="48" t="str">
        <f t="shared" si="108"/>
        <v/>
      </c>
      <c r="Q433" s="48" t="str">
        <f t="shared" si="108"/>
        <v/>
      </c>
    </row>
    <row r="434" spans="2:17" collapsed="1">
      <c r="E434" s="314"/>
    </row>
    <row r="435" spans="2:17" ht="18.5" thickBot="1">
      <c r="B435" s="69"/>
      <c r="C435" s="46" t="s">
        <v>306</v>
      </c>
      <c r="D435" s="4"/>
      <c r="E435" s="308"/>
      <c r="F435" s="240" t="str">
        <f>IF(G436="","","折りたたまれたセルのグループ（非表示行）を展開して、入力項目を入力してください。")</f>
        <v/>
      </c>
      <c r="L435" s="51"/>
    </row>
    <row r="436" spans="2:17" ht="50.15" customHeight="1" thickBot="1">
      <c r="D436" s="128">
        <v>1</v>
      </c>
      <c r="E436" s="311" t="s">
        <v>275</v>
      </c>
      <c r="F436" s="129"/>
      <c r="G436" s="130" t="str">
        <f>IF($N$102="","",$N$102)</f>
        <v/>
      </c>
    </row>
    <row r="437" spans="2:17" hidden="1" outlineLevel="1">
      <c r="D437" s="52">
        <v>2</v>
      </c>
      <c r="E437" s="312" t="s">
        <v>292</v>
      </c>
      <c r="F437" s="57" t="s">
        <v>241</v>
      </c>
      <c r="G437" s="144"/>
    </row>
    <row r="438" spans="2:17" ht="33" hidden="1" outlineLevel="1">
      <c r="D438" s="52">
        <v>3</v>
      </c>
      <c r="E438" s="312" t="s">
        <v>277</v>
      </c>
      <c r="F438" s="30" t="s">
        <v>241</v>
      </c>
      <c r="G438" s="141"/>
      <c r="K438" s="375" t="s">
        <v>278</v>
      </c>
      <c r="L438" s="375"/>
      <c r="M438" s="375"/>
      <c r="N438" s="375"/>
      <c r="O438" s="196"/>
      <c r="P438" s="195" t="s">
        <v>279</v>
      </c>
      <c r="Q438" s="50" t="s">
        <v>280</v>
      </c>
    </row>
    <row r="439" spans="2:17" hidden="1" outlineLevel="1">
      <c r="D439" s="52">
        <v>4</v>
      </c>
      <c r="E439" s="293" t="s">
        <v>281</v>
      </c>
      <c r="F439" s="19" t="s">
        <v>241</v>
      </c>
      <c r="G439" s="141"/>
      <c r="H439" s="6"/>
      <c r="K439" s="375"/>
      <c r="L439" s="375"/>
      <c r="M439" s="375"/>
      <c r="N439" s="375"/>
      <c r="O439" s="125" t="s">
        <v>282</v>
      </c>
      <c r="P439" s="131" t="str">
        <f>IF(AND(COUNTA($G446:$Q446)&gt;0,SUMIF($G446:$Q446,"&lt;&gt;"&amp;"")=0),"－",IFERROR(((HLOOKUP(EDATE($F$13,36),$G443:$Q451,6,FALSE))/(HLOOKUP(EDATE($F$13,0),$G443:$Q451,6,FALSE)))^(1/3)-1,""))</f>
        <v/>
      </c>
      <c r="Q439" s="376">
        <v>4.4999999999999998E-2</v>
      </c>
    </row>
    <row r="440" spans="2:17" ht="36" hidden="1" outlineLevel="1">
      <c r="D440" s="52">
        <v>5</v>
      </c>
      <c r="E440" s="293" t="s">
        <v>283</v>
      </c>
      <c r="F440" s="19" t="s">
        <v>256</v>
      </c>
      <c r="G440" s="315"/>
      <c r="H440" s="6"/>
      <c r="K440" s="375"/>
      <c r="L440" s="375"/>
      <c r="M440" s="375"/>
      <c r="N440" s="375"/>
      <c r="O440" s="125" t="s">
        <v>284</v>
      </c>
      <c r="P440" s="125" t="str">
        <f>IF(AND(COUNTA($G447:$Q447)&gt;0,SUMIF($G447:$Q447,"&lt;&gt;"&amp;"")=0),"－",IFERROR(((HLOOKUP(EDATE($F$13,36),$G443:$Q451,8,FALSE))/(HLOOKUP(EDATE($F$13,0),$G443:$Q451,8,FALSE)))^(1/3)-1,""))</f>
        <v/>
      </c>
      <c r="Q440" s="377"/>
    </row>
    <row r="441" spans="2:17" hidden="1" outlineLevel="1">
      <c r="D441" s="35"/>
      <c r="E441" s="316" t="s">
        <v>257</v>
      </c>
      <c r="F441" s="34"/>
      <c r="G441" s="1" t="s">
        <v>179</v>
      </c>
    </row>
    <row r="442" spans="2:17" hidden="1" outlineLevel="1">
      <c r="E442" s="308"/>
      <c r="G442" s="64" t="s">
        <v>181</v>
      </c>
      <c r="H442" s="64" t="s">
        <v>182</v>
      </c>
      <c r="I442" s="64" t="s">
        <v>183</v>
      </c>
      <c r="J442" s="132" t="s">
        <v>184</v>
      </c>
      <c r="K442" s="132"/>
      <c r="L442" s="132"/>
      <c r="M442" s="132"/>
      <c r="N442" s="132"/>
      <c r="O442" s="132"/>
      <c r="P442" s="132"/>
      <c r="Q442" s="132"/>
    </row>
    <row r="443" spans="2:17" hidden="1" outlineLevel="1">
      <c r="D443" s="11"/>
      <c r="E443" s="206"/>
      <c r="F443" s="56"/>
      <c r="G443" s="63" t="str">
        <f>IF($I443="","",EDATE(H443,-12))</f>
        <v/>
      </c>
      <c r="H443" s="63" t="str">
        <f>IF($I443="","",EDATE(I443,-12))</f>
        <v/>
      </c>
      <c r="I443" s="63" t="str">
        <f>IF($I$12="","",$I$12)</f>
        <v/>
      </c>
      <c r="J443" s="63" t="str">
        <f t="shared" ref="J443:Q443" si="109">IF($I443="","",EDATE(I443,12))</f>
        <v/>
      </c>
      <c r="K443" s="63" t="str">
        <f t="shared" si="109"/>
        <v/>
      </c>
      <c r="L443" s="63" t="str">
        <f t="shared" si="109"/>
        <v/>
      </c>
      <c r="M443" s="63" t="str">
        <f t="shared" si="109"/>
        <v/>
      </c>
      <c r="N443" s="63" t="str">
        <f t="shared" si="109"/>
        <v/>
      </c>
      <c r="O443" s="63" t="str">
        <f t="shared" si="109"/>
        <v/>
      </c>
      <c r="P443" s="63" t="str">
        <f t="shared" si="109"/>
        <v/>
      </c>
      <c r="Q443" s="63" t="str">
        <f t="shared" si="109"/>
        <v/>
      </c>
    </row>
    <row r="444" spans="2:17" hidden="1" outlineLevel="1">
      <c r="D444" s="52">
        <v>6</v>
      </c>
      <c r="E444" s="293" t="s">
        <v>206</v>
      </c>
      <c r="F444" s="55"/>
      <c r="G444" s="138"/>
      <c r="H444" s="138"/>
      <c r="I444" s="138"/>
      <c r="J444" s="138"/>
      <c r="K444" s="138"/>
      <c r="L444" s="138"/>
      <c r="M444" s="138"/>
      <c r="N444" s="138"/>
      <c r="O444" s="138"/>
      <c r="P444" s="106"/>
      <c r="Q444" s="106"/>
    </row>
    <row r="445" spans="2:17" hidden="1" outlineLevel="1">
      <c r="C445" s="9"/>
      <c r="D445" s="52">
        <v>7</v>
      </c>
      <c r="E445" s="293" t="s">
        <v>207</v>
      </c>
      <c r="F445" s="55"/>
      <c r="G445" s="138"/>
      <c r="H445" s="106"/>
      <c r="I445" s="139"/>
      <c r="J445" s="106"/>
      <c r="K445" s="106"/>
      <c r="L445" s="154"/>
      <c r="M445" s="106"/>
      <c r="N445" s="106"/>
      <c r="O445" s="106"/>
      <c r="P445" s="106"/>
      <c r="Q445" s="106"/>
    </row>
    <row r="446" spans="2:17" hidden="1" outlineLevel="1">
      <c r="C446" s="9"/>
      <c r="D446" s="5">
        <v>8</v>
      </c>
      <c r="E446" s="303" t="s">
        <v>210</v>
      </c>
      <c r="F446" s="20" t="s">
        <v>211</v>
      </c>
      <c r="G446" s="306"/>
      <c r="H446" s="306"/>
      <c r="I446" s="306"/>
      <c r="J446" s="306"/>
      <c r="K446" s="306"/>
      <c r="L446" s="306"/>
      <c r="M446" s="306"/>
      <c r="N446" s="306"/>
      <c r="O446" s="306"/>
      <c r="P446" s="229"/>
      <c r="Q446" s="229"/>
    </row>
    <row r="447" spans="2:17" hidden="1" outlineLevel="1">
      <c r="C447" s="9"/>
      <c r="D447" s="52">
        <v>9</v>
      </c>
      <c r="E447" s="293" t="s">
        <v>212</v>
      </c>
      <c r="F447" s="55" t="s">
        <v>287</v>
      </c>
      <c r="G447" s="306"/>
      <c r="H447" s="229"/>
      <c r="I447" s="307"/>
      <c r="J447" s="229"/>
      <c r="K447" s="229"/>
      <c r="L447" s="229"/>
      <c r="M447" s="229"/>
      <c r="N447" s="229"/>
      <c r="O447" s="229"/>
      <c r="P447" s="229"/>
      <c r="Q447" s="229"/>
    </row>
    <row r="448" spans="2:17" hidden="1" outlineLevel="1">
      <c r="C448" s="9"/>
      <c r="D448" s="7">
        <v>10</v>
      </c>
      <c r="E448" s="310" t="s">
        <v>213</v>
      </c>
      <c r="F448" s="22"/>
      <c r="G448" s="12" t="str">
        <f>IFERROR(+G444/G446,"")</f>
        <v/>
      </c>
      <c r="H448" s="13" t="str">
        <f>IFERROR(+H444/H446,"")</f>
        <v/>
      </c>
      <c r="I448" s="16" t="str">
        <f t="shared" ref="I448:Q448" si="110">IFERROR(+I444/I446,"")</f>
        <v/>
      </c>
      <c r="J448" s="13" t="str">
        <f t="shared" si="110"/>
        <v/>
      </c>
      <c r="K448" s="13" t="str">
        <f t="shared" si="110"/>
        <v/>
      </c>
      <c r="L448" s="13" t="str">
        <f t="shared" si="110"/>
        <v/>
      </c>
      <c r="M448" s="13" t="str">
        <f t="shared" si="110"/>
        <v/>
      </c>
      <c r="N448" s="13" t="str">
        <f t="shared" si="110"/>
        <v/>
      </c>
      <c r="O448" s="13" t="str">
        <f t="shared" si="110"/>
        <v/>
      </c>
      <c r="P448" s="13" t="str">
        <f t="shared" si="110"/>
        <v/>
      </c>
      <c r="Q448" s="13" t="str">
        <f t="shared" si="110"/>
        <v/>
      </c>
    </row>
    <row r="449" spans="2:17" hidden="1" outlineLevel="1">
      <c r="C449" s="9"/>
      <c r="D449" s="7">
        <v>11</v>
      </c>
      <c r="E449" s="310" t="s">
        <v>214</v>
      </c>
      <c r="F449" s="22" t="s">
        <v>215</v>
      </c>
      <c r="G449" s="14"/>
      <c r="H449" s="48" t="str">
        <f t="shared" ref="H449:Q449" si="111">IFERROR((H448-G448)/G448,"")</f>
        <v/>
      </c>
      <c r="I449" s="49" t="str">
        <f t="shared" si="111"/>
        <v/>
      </c>
      <c r="J449" s="48" t="str">
        <f t="shared" si="111"/>
        <v/>
      </c>
      <c r="K449" s="48" t="str">
        <f>IFERROR((K448-J448)/J448,"")</f>
        <v/>
      </c>
      <c r="L449" s="48" t="str">
        <f t="shared" si="111"/>
        <v/>
      </c>
      <c r="M449" s="48" t="str">
        <f t="shared" si="111"/>
        <v/>
      </c>
      <c r="N449" s="48" t="str">
        <f t="shared" si="111"/>
        <v/>
      </c>
      <c r="O449" s="48" t="str">
        <f t="shared" si="111"/>
        <v/>
      </c>
      <c r="P449" s="48" t="str">
        <f t="shared" si="111"/>
        <v/>
      </c>
      <c r="Q449" s="48" t="str">
        <f t="shared" si="111"/>
        <v/>
      </c>
    </row>
    <row r="450" spans="2:17" hidden="1" outlineLevel="1">
      <c r="C450" s="9"/>
      <c r="D450" s="7">
        <v>12</v>
      </c>
      <c r="E450" s="310" t="s">
        <v>216</v>
      </c>
      <c r="F450" s="21"/>
      <c r="G450" s="70" t="str">
        <f t="shared" ref="G450:Q450" si="112">IFERROR(+G445/G447,"")</f>
        <v/>
      </c>
      <c r="H450" s="71" t="str">
        <f t="shared" si="112"/>
        <v/>
      </c>
      <c r="I450" s="71" t="str">
        <f t="shared" si="112"/>
        <v/>
      </c>
      <c r="J450" s="71" t="str">
        <f t="shared" si="112"/>
        <v/>
      </c>
      <c r="K450" s="71" t="str">
        <f t="shared" si="112"/>
        <v/>
      </c>
      <c r="L450" s="71" t="str">
        <f t="shared" si="112"/>
        <v/>
      </c>
      <c r="M450" s="71" t="str">
        <f t="shared" si="112"/>
        <v/>
      </c>
      <c r="N450" s="71" t="str">
        <f t="shared" si="112"/>
        <v/>
      </c>
      <c r="O450" s="71" t="str">
        <f t="shared" si="112"/>
        <v/>
      </c>
      <c r="P450" s="71" t="str">
        <f t="shared" si="112"/>
        <v/>
      </c>
      <c r="Q450" s="71" t="str">
        <f t="shared" si="112"/>
        <v/>
      </c>
    </row>
    <row r="451" spans="2:17" hidden="1" outlineLevel="1">
      <c r="D451" s="7">
        <v>13</v>
      </c>
      <c r="E451" s="310" t="s">
        <v>217</v>
      </c>
      <c r="F451" s="21" t="s">
        <v>218</v>
      </c>
      <c r="G451" s="14"/>
      <c r="H451" s="48" t="str">
        <f t="shared" ref="H451:Q451" si="113">IFERROR((H450-G450)/G450,"")</f>
        <v/>
      </c>
      <c r="I451" s="49" t="str">
        <f t="shared" si="113"/>
        <v/>
      </c>
      <c r="J451" s="48" t="str">
        <f t="shared" si="113"/>
        <v/>
      </c>
      <c r="K451" s="48" t="str">
        <f t="shared" si="113"/>
        <v/>
      </c>
      <c r="L451" s="48" t="str">
        <f t="shared" si="113"/>
        <v/>
      </c>
      <c r="M451" s="48" t="str">
        <f t="shared" si="113"/>
        <v/>
      </c>
      <c r="N451" s="48" t="str">
        <f t="shared" si="113"/>
        <v/>
      </c>
      <c r="O451" s="48" t="str">
        <f t="shared" si="113"/>
        <v/>
      </c>
      <c r="P451" s="48" t="str">
        <f t="shared" si="113"/>
        <v/>
      </c>
      <c r="Q451" s="48" t="str">
        <f t="shared" si="113"/>
        <v/>
      </c>
    </row>
    <row r="452" spans="2:17" collapsed="1">
      <c r="E452" s="314"/>
    </row>
    <row r="453" spans="2:17" ht="18.5" thickBot="1">
      <c r="B453" s="69"/>
      <c r="C453" s="46" t="s">
        <v>307</v>
      </c>
      <c r="D453" s="4"/>
      <c r="E453" s="308"/>
      <c r="F453" s="240" t="str">
        <f>IF(G454="","","折りたたまれたセルのグループ（非表示行）を展開して、入力項目を入力してください。")</f>
        <v/>
      </c>
      <c r="L453" s="51"/>
    </row>
    <row r="454" spans="2:17" ht="50.15" customHeight="1" thickBot="1">
      <c r="D454" s="128">
        <v>1</v>
      </c>
      <c r="E454" s="311" t="s">
        <v>275</v>
      </c>
      <c r="F454" s="129"/>
      <c r="G454" s="130" t="str">
        <f>IF($O$102="","",$O$102)</f>
        <v/>
      </c>
    </row>
    <row r="455" spans="2:17" hidden="1" outlineLevel="1">
      <c r="D455" s="52">
        <v>2</v>
      </c>
      <c r="E455" s="312" t="s">
        <v>292</v>
      </c>
      <c r="F455" s="57" t="s">
        <v>241</v>
      </c>
      <c r="G455" s="144"/>
    </row>
    <row r="456" spans="2:17" ht="33" hidden="1" outlineLevel="1">
      <c r="D456" s="52">
        <v>3</v>
      </c>
      <c r="E456" s="312" t="s">
        <v>277</v>
      </c>
      <c r="F456" s="30" t="s">
        <v>241</v>
      </c>
      <c r="G456" s="141"/>
      <c r="K456" s="375" t="s">
        <v>278</v>
      </c>
      <c r="L456" s="375"/>
      <c r="M456" s="375"/>
      <c r="N456" s="375"/>
      <c r="O456" s="196"/>
      <c r="P456" s="195" t="s">
        <v>279</v>
      </c>
      <c r="Q456" s="50" t="s">
        <v>280</v>
      </c>
    </row>
    <row r="457" spans="2:17" hidden="1" outlineLevel="1">
      <c r="D457" s="52">
        <v>4</v>
      </c>
      <c r="E457" s="293" t="s">
        <v>281</v>
      </c>
      <c r="F457" s="19" t="s">
        <v>241</v>
      </c>
      <c r="G457" s="141"/>
      <c r="H457" s="6"/>
      <c r="K457" s="375"/>
      <c r="L457" s="375"/>
      <c r="M457" s="375"/>
      <c r="N457" s="375"/>
      <c r="O457" s="125" t="s">
        <v>282</v>
      </c>
      <c r="P457" s="131" t="str">
        <f>IF(AND(COUNTA($G464:$Q464)&gt;0,SUMIF($G464:$Q464,"&lt;&gt;"&amp;"")=0),"－",IFERROR(((HLOOKUP(EDATE($F$13,36),$G461:$Q469,6,FALSE))/(HLOOKUP(EDATE($F$13,0),$G461:$Q469,6,FALSE)))^(1/3)-1,""))</f>
        <v/>
      </c>
      <c r="Q457" s="376">
        <v>4.4999999999999998E-2</v>
      </c>
    </row>
    <row r="458" spans="2:17" ht="36" hidden="1" outlineLevel="1">
      <c r="D458" s="52">
        <v>5</v>
      </c>
      <c r="E458" s="293" t="s">
        <v>283</v>
      </c>
      <c r="F458" s="19" t="s">
        <v>256</v>
      </c>
      <c r="G458" s="315"/>
      <c r="H458" s="6"/>
      <c r="K458" s="375"/>
      <c r="L458" s="375"/>
      <c r="M458" s="375"/>
      <c r="N458" s="375"/>
      <c r="O458" s="125" t="s">
        <v>284</v>
      </c>
      <c r="P458" s="125" t="str">
        <f>IF(AND(COUNTA($G465:$Q465)&gt;0,SUMIF($G465:$Q465,"&lt;&gt;"&amp;"")=0),"－",IFERROR(((HLOOKUP(EDATE($F$13,36),$G461:$Q469,8,FALSE))/(HLOOKUP(EDATE($F$13,0),$G461:$Q469,8,FALSE)))^(1/3)-1,""))</f>
        <v/>
      </c>
      <c r="Q458" s="377"/>
    </row>
    <row r="459" spans="2:17" hidden="1" outlineLevel="1">
      <c r="D459" s="35"/>
      <c r="E459" s="316" t="s">
        <v>257</v>
      </c>
      <c r="F459" s="34"/>
      <c r="G459" s="1" t="s">
        <v>179</v>
      </c>
    </row>
    <row r="460" spans="2:17" hidden="1" outlineLevel="1">
      <c r="E460" s="308"/>
      <c r="G460" s="64" t="s">
        <v>181</v>
      </c>
      <c r="H460" s="64" t="s">
        <v>182</v>
      </c>
      <c r="I460" s="64" t="s">
        <v>183</v>
      </c>
      <c r="J460" s="132" t="s">
        <v>184</v>
      </c>
      <c r="K460" s="132"/>
      <c r="L460" s="132"/>
      <c r="M460" s="132"/>
      <c r="N460" s="132"/>
      <c r="O460" s="132"/>
      <c r="P460" s="132"/>
      <c r="Q460" s="132"/>
    </row>
    <row r="461" spans="2:17" hidden="1" outlineLevel="1">
      <c r="D461" s="11"/>
      <c r="E461" s="206"/>
      <c r="F461" s="56"/>
      <c r="G461" s="63" t="str">
        <f>IF($I461="","",EDATE(H461,-12))</f>
        <v/>
      </c>
      <c r="H461" s="63" t="str">
        <f>IF($I461="","",EDATE(I461,-12))</f>
        <v/>
      </c>
      <c r="I461" s="63" t="str">
        <f>IF($I$12="","",$I$12)</f>
        <v/>
      </c>
      <c r="J461" s="63" t="str">
        <f t="shared" ref="J461:Q461" si="114">IF($I461="","",EDATE(I461,12))</f>
        <v/>
      </c>
      <c r="K461" s="63" t="str">
        <f t="shared" si="114"/>
        <v/>
      </c>
      <c r="L461" s="63" t="str">
        <f t="shared" si="114"/>
        <v/>
      </c>
      <c r="M461" s="63" t="str">
        <f t="shared" si="114"/>
        <v/>
      </c>
      <c r="N461" s="63" t="str">
        <f t="shared" si="114"/>
        <v/>
      </c>
      <c r="O461" s="63" t="str">
        <f t="shared" si="114"/>
        <v/>
      </c>
      <c r="P461" s="63" t="str">
        <f t="shared" si="114"/>
        <v/>
      </c>
      <c r="Q461" s="63" t="str">
        <f t="shared" si="114"/>
        <v/>
      </c>
    </row>
    <row r="462" spans="2:17" hidden="1" outlineLevel="1">
      <c r="D462" s="52">
        <v>6</v>
      </c>
      <c r="E462" s="293" t="s">
        <v>206</v>
      </c>
      <c r="F462" s="55"/>
      <c r="G462" s="138"/>
      <c r="H462" s="138"/>
      <c r="I462" s="138"/>
      <c r="J462" s="138"/>
      <c r="K462" s="138"/>
      <c r="L462" s="138"/>
      <c r="M462" s="138"/>
      <c r="N462" s="138"/>
      <c r="O462" s="138"/>
      <c r="P462" s="106"/>
      <c r="Q462" s="106"/>
    </row>
    <row r="463" spans="2:17" hidden="1" outlineLevel="1">
      <c r="C463" s="9"/>
      <c r="D463" s="52">
        <v>7</v>
      </c>
      <c r="E463" s="293" t="s">
        <v>207</v>
      </c>
      <c r="F463" s="55"/>
      <c r="G463" s="138"/>
      <c r="H463" s="106"/>
      <c r="I463" s="139"/>
      <c r="J463" s="106"/>
      <c r="K463" s="106"/>
      <c r="L463" s="154"/>
      <c r="M463" s="106"/>
      <c r="N463" s="106"/>
      <c r="O463" s="106"/>
      <c r="P463" s="106"/>
      <c r="Q463" s="106"/>
    </row>
    <row r="464" spans="2:17" hidden="1" outlineLevel="1">
      <c r="C464" s="9"/>
      <c r="D464" s="5">
        <v>8</v>
      </c>
      <c r="E464" s="303" t="s">
        <v>210</v>
      </c>
      <c r="F464" s="20" t="s">
        <v>211</v>
      </c>
      <c r="G464" s="306"/>
      <c r="H464" s="306"/>
      <c r="I464" s="306"/>
      <c r="J464" s="306"/>
      <c r="K464" s="306"/>
      <c r="L464" s="306"/>
      <c r="M464" s="306"/>
      <c r="N464" s="306"/>
      <c r="O464" s="306"/>
      <c r="P464" s="229"/>
      <c r="Q464" s="229"/>
    </row>
    <row r="465" spans="2:17" hidden="1" outlineLevel="1">
      <c r="C465" s="9"/>
      <c r="D465" s="52">
        <v>9</v>
      </c>
      <c r="E465" s="293" t="s">
        <v>212</v>
      </c>
      <c r="F465" s="55" t="s">
        <v>287</v>
      </c>
      <c r="G465" s="306"/>
      <c r="H465" s="229"/>
      <c r="I465" s="307"/>
      <c r="J465" s="229"/>
      <c r="K465" s="229"/>
      <c r="L465" s="229"/>
      <c r="M465" s="229"/>
      <c r="N465" s="229"/>
      <c r="O465" s="229"/>
      <c r="P465" s="229"/>
      <c r="Q465" s="229"/>
    </row>
    <row r="466" spans="2:17" hidden="1" outlineLevel="1">
      <c r="C466" s="9"/>
      <c r="D466" s="7">
        <v>10</v>
      </c>
      <c r="E466" s="310" t="s">
        <v>213</v>
      </c>
      <c r="F466" s="22"/>
      <c r="G466" s="12" t="str">
        <f>IFERROR(+G462/G464,"")</f>
        <v/>
      </c>
      <c r="H466" s="13" t="str">
        <f>IFERROR(+H462/H464,"")</f>
        <v/>
      </c>
      <c r="I466" s="16" t="str">
        <f t="shared" ref="I466:Q466" si="115">IFERROR(+I462/I464,"")</f>
        <v/>
      </c>
      <c r="J466" s="13" t="str">
        <f t="shared" si="115"/>
        <v/>
      </c>
      <c r="K466" s="13" t="str">
        <f t="shared" si="115"/>
        <v/>
      </c>
      <c r="L466" s="13" t="str">
        <f t="shared" si="115"/>
        <v/>
      </c>
      <c r="M466" s="13" t="str">
        <f t="shared" si="115"/>
        <v/>
      </c>
      <c r="N466" s="13" t="str">
        <f t="shared" si="115"/>
        <v/>
      </c>
      <c r="O466" s="13" t="str">
        <f t="shared" si="115"/>
        <v/>
      </c>
      <c r="P466" s="13" t="str">
        <f t="shared" si="115"/>
        <v/>
      </c>
      <c r="Q466" s="13" t="str">
        <f t="shared" si="115"/>
        <v/>
      </c>
    </row>
    <row r="467" spans="2:17" hidden="1" outlineLevel="1">
      <c r="C467" s="9"/>
      <c r="D467" s="7">
        <v>11</v>
      </c>
      <c r="E467" s="310" t="s">
        <v>214</v>
      </c>
      <c r="F467" s="22" t="s">
        <v>215</v>
      </c>
      <c r="G467" s="14"/>
      <c r="H467" s="48" t="str">
        <f t="shared" ref="H467:Q467" si="116">IFERROR((H466-G466)/G466,"")</f>
        <v/>
      </c>
      <c r="I467" s="49" t="str">
        <f t="shared" si="116"/>
        <v/>
      </c>
      <c r="J467" s="48" t="str">
        <f t="shared" si="116"/>
        <v/>
      </c>
      <c r="K467" s="48" t="str">
        <f>IFERROR((K466-J466)/J466,"")</f>
        <v/>
      </c>
      <c r="L467" s="48" t="str">
        <f t="shared" si="116"/>
        <v/>
      </c>
      <c r="M467" s="48" t="str">
        <f t="shared" si="116"/>
        <v/>
      </c>
      <c r="N467" s="48" t="str">
        <f t="shared" si="116"/>
        <v/>
      </c>
      <c r="O467" s="48" t="str">
        <f t="shared" si="116"/>
        <v/>
      </c>
      <c r="P467" s="48" t="str">
        <f t="shared" si="116"/>
        <v/>
      </c>
      <c r="Q467" s="48" t="str">
        <f t="shared" si="116"/>
        <v/>
      </c>
    </row>
    <row r="468" spans="2:17" hidden="1" outlineLevel="1">
      <c r="C468" s="9"/>
      <c r="D468" s="7">
        <v>12</v>
      </c>
      <c r="E468" s="310" t="s">
        <v>216</v>
      </c>
      <c r="F468" s="21"/>
      <c r="G468" s="70" t="str">
        <f t="shared" ref="G468:Q468" si="117">IFERROR(+G463/G465,"")</f>
        <v/>
      </c>
      <c r="H468" s="71" t="str">
        <f t="shared" si="117"/>
        <v/>
      </c>
      <c r="I468" s="71" t="str">
        <f t="shared" si="117"/>
        <v/>
      </c>
      <c r="J468" s="71" t="str">
        <f t="shared" si="117"/>
        <v/>
      </c>
      <c r="K468" s="71" t="str">
        <f t="shared" si="117"/>
        <v/>
      </c>
      <c r="L468" s="71" t="str">
        <f t="shared" si="117"/>
        <v/>
      </c>
      <c r="M468" s="71" t="str">
        <f t="shared" si="117"/>
        <v/>
      </c>
      <c r="N468" s="71" t="str">
        <f t="shared" si="117"/>
        <v/>
      </c>
      <c r="O468" s="71" t="str">
        <f t="shared" si="117"/>
        <v/>
      </c>
      <c r="P468" s="71" t="str">
        <f t="shared" si="117"/>
        <v/>
      </c>
      <c r="Q468" s="71" t="str">
        <f t="shared" si="117"/>
        <v/>
      </c>
    </row>
    <row r="469" spans="2:17" hidden="1" outlineLevel="1">
      <c r="D469" s="7">
        <v>13</v>
      </c>
      <c r="E469" s="310" t="s">
        <v>217</v>
      </c>
      <c r="F469" s="21" t="s">
        <v>218</v>
      </c>
      <c r="G469" s="14"/>
      <c r="H469" s="48" t="str">
        <f t="shared" ref="H469:Q469" si="118">IFERROR((H468-G468)/G468,"")</f>
        <v/>
      </c>
      <c r="I469" s="49" t="str">
        <f t="shared" si="118"/>
        <v/>
      </c>
      <c r="J469" s="48" t="str">
        <f t="shared" si="118"/>
        <v/>
      </c>
      <c r="K469" s="48" t="str">
        <f t="shared" si="118"/>
        <v/>
      </c>
      <c r="L469" s="48" t="str">
        <f t="shared" si="118"/>
        <v/>
      </c>
      <c r="M469" s="48" t="str">
        <f t="shared" si="118"/>
        <v/>
      </c>
      <c r="N469" s="48" t="str">
        <f t="shared" si="118"/>
        <v/>
      </c>
      <c r="O469" s="48" t="str">
        <f t="shared" si="118"/>
        <v/>
      </c>
      <c r="P469" s="48" t="str">
        <f t="shared" si="118"/>
        <v/>
      </c>
      <c r="Q469" s="48" t="str">
        <f t="shared" si="118"/>
        <v/>
      </c>
    </row>
    <row r="470" spans="2:17" collapsed="1">
      <c r="E470" s="314"/>
    </row>
    <row r="471" spans="2:17" ht="18.5" thickBot="1">
      <c r="B471" s="69"/>
      <c r="C471" s="46" t="s">
        <v>308</v>
      </c>
      <c r="D471" s="4"/>
      <c r="E471" s="308"/>
      <c r="F471" s="240" t="str">
        <f>IF(G472="","","折りたたまれたセルのグループ（非表示行）を展開して、入力項目を入力してください。")</f>
        <v/>
      </c>
      <c r="L471" s="51"/>
    </row>
    <row r="472" spans="2:17" ht="50.15" customHeight="1" thickBot="1">
      <c r="D472" s="128">
        <v>1</v>
      </c>
      <c r="E472" s="311" t="s">
        <v>275</v>
      </c>
      <c r="F472" s="129"/>
      <c r="G472" s="130" t="str">
        <f>IF($P$102="","",$P$102)</f>
        <v/>
      </c>
    </row>
    <row r="473" spans="2:17" hidden="1" outlineLevel="1">
      <c r="D473" s="52">
        <v>2</v>
      </c>
      <c r="E473" s="312" t="s">
        <v>292</v>
      </c>
      <c r="F473" s="57" t="s">
        <v>241</v>
      </c>
      <c r="G473" s="144"/>
    </row>
    <row r="474" spans="2:17" ht="33" hidden="1" outlineLevel="1">
      <c r="D474" s="52">
        <v>3</v>
      </c>
      <c r="E474" s="312" t="s">
        <v>277</v>
      </c>
      <c r="F474" s="30" t="s">
        <v>241</v>
      </c>
      <c r="G474" s="141"/>
      <c r="K474" s="375" t="s">
        <v>278</v>
      </c>
      <c r="L474" s="375"/>
      <c r="M474" s="375"/>
      <c r="N474" s="375"/>
      <c r="O474" s="196"/>
      <c r="P474" s="195" t="s">
        <v>279</v>
      </c>
      <c r="Q474" s="50" t="s">
        <v>280</v>
      </c>
    </row>
    <row r="475" spans="2:17" hidden="1" outlineLevel="1">
      <c r="D475" s="52">
        <v>4</v>
      </c>
      <c r="E475" s="293" t="s">
        <v>281</v>
      </c>
      <c r="F475" s="19" t="s">
        <v>241</v>
      </c>
      <c r="G475" s="141"/>
      <c r="H475" s="6"/>
      <c r="K475" s="375"/>
      <c r="L475" s="375"/>
      <c r="M475" s="375"/>
      <c r="N475" s="375"/>
      <c r="O475" s="125" t="s">
        <v>282</v>
      </c>
      <c r="P475" s="131" t="str">
        <f>IF(AND(COUNTA($G482:$Q482)&gt;0,SUMIF($G482:$Q482,"&lt;&gt;"&amp;"")=0),"－",IFERROR(((HLOOKUP(EDATE($F$13,36),$G479:$Q487,6,FALSE))/(HLOOKUP(EDATE($F$13,0),$G479:$Q487,6,FALSE)))^(1/3)-1,""))</f>
        <v/>
      </c>
      <c r="Q475" s="376">
        <v>4.4999999999999998E-2</v>
      </c>
    </row>
    <row r="476" spans="2:17" ht="36" hidden="1" outlineLevel="1">
      <c r="D476" s="52">
        <v>5</v>
      </c>
      <c r="E476" s="293" t="s">
        <v>283</v>
      </c>
      <c r="F476" s="19" t="s">
        <v>256</v>
      </c>
      <c r="G476" s="315"/>
      <c r="H476" s="6"/>
      <c r="K476" s="375"/>
      <c r="L476" s="375"/>
      <c r="M476" s="375"/>
      <c r="N476" s="375"/>
      <c r="O476" s="125" t="s">
        <v>284</v>
      </c>
      <c r="P476" s="125" t="str">
        <f>IF(AND(COUNTA($G483:$Q483)&gt;0,SUMIF($G483:$Q483,"&lt;&gt;"&amp;"")=0),"－",IFERROR(((HLOOKUP(EDATE($F$13,36),$G479:$Q487,8,FALSE))/(HLOOKUP(EDATE($F$13,0),$G479:$Q487,8,FALSE)))^(1/3)-1,""))</f>
        <v/>
      </c>
      <c r="Q476" s="377"/>
    </row>
    <row r="477" spans="2:17" hidden="1" outlineLevel="1">
      <c r="D477" s="35"/>
      <c r="E477" s="316" t="s">
        <v>257</v>
      </c>
      <c r="F477" s="34"/>
      <c r="G477" s="1" t="s">
        <v>179</v>
      </c>
    </row>
    <row r="478" spans="2:17" hidden="1" outlineLevel="1">
      <c r="E478" s="308"/>
      <c r="G478" s="64" t="s">
        <v>181</v>
      </c>
      <c r="H478" s="64" t="s">
        <v>182</v>
      </c>
      <c r="I478" s="64" t="s">
        <v>183</v>
      </c>
      <c r="J478" s="132" t="s">
        <v>184</v>
      </c>
      <c r="K478" s="132"/>
      <c r="L478" s="132"/>
      <c r="M478" s="132"/>
      <c r="N478" s="132"/>
      <c r="O478" s="132"/>
      <c r="P478" s="132"/>
      <c r="Q478" s="132"/>
    </row>
    <row r="479" spans="2:17" hidden="1" outlineLevel="1">
      <c r="D479" s="11"/>
      <c r="E479" s="206"/>
      <c r="F479" s="56"/>
      <c r="G479" s="63" t="str">
        <f>IF($I479="","",EDATE(H479,-12))</f>
        <v/>
      </c>
      <c r="H479" s="63" t="str">
        <f>IF($I479="","",EDATE(I479,-12))</f>
        <v/>
      </c>
      <c r="I479" s="63" t="str">
        <f>IF($I$12="","",$I$12)</f>
        <v/>
      </c>
      <c r="J479" s="63" t="str">
        <f t="shared" ref="J479:Q479" si="119">IF($I479="","",EDATE(I479,12))</f>
        <v/>
      </c>
      <c r="K479" s="63" t="str">
        <f t="shared" si="119"/>
        <v/>
      </c>
      <c r="L479" s="63" t="str">
        <f t="shared" si="119"/>
        <v/>
      </c>
      <c r="M479" s="63" t="str">
        <f t="shared" si="119"/>
        <v/>
      </c>
      <c r="N479" s="63" t="str">
        <f t="shared" si="119"/>
        <v/>
      </c>
      <c r="O479" s="63" t="str">
        <f t="shared" si="119"/>
        <v/>
      </c>
      <c r="P479" s="63" t="str">
        <f t="shared" si="119"/>
        <v/>
      </c>
      <c r="Q479" s="63" t="str">
        <f t="shared" si="119"/>
        <v/>
      </c>
    </row>
    <row r="480" spans="2:17" hidden="1" outlineLevel="1">
      <c r="D480" s="52">
        <v>6</v>
      </c>
      <c r="E480" s="293" t="s">
        <v>206</v>
      </c>
      <c r="F480" s="55"/>
      <c r="G480" s="138"/>
      <c r="H480" s="138"/>
      <c r="I480" s="138"/>
      <c r="J480" s="138"/>
      <c r="K480" s="138"/>
      <c r="L480" s="138"/>
      <c r="M480" s="138"/>
      <c r="N480" s="138"/>
      <c r="O480" s="138"/>
      <c r="P480" s="106"/>
      <c r="Q480" s="106"/>
    </row>
    <row r="481" spans="2:17" hidden="1" outlineLevel="1">
      <c r="C481" s="9"/>
      <c r="D481" s="52">
        <v>7</v>
      </c>
      <c r="E481" s="293" t="s">
        <v>207</v>
      </c>
      <c r="F481" s="55"/>
      <c r="G481" s="138"/>
      <c r="H481" s="106"/>
      <c r="I481" s="139"/>
      <c r="J481" s="106"/>
      <c r="K481" s="106"/>
      <c r="L481" s="154"/>
      <c r="M481" s="106"/>
      <c r="N481" s="106"/>
      <c r="O481" s="106"/>
      <c r="P481" s="106"/>
      <c r="Q481" s="106"/>
    </row>
    <row r="482" spans="2:17" hidden="1" outlineLevel="1">
      <c r="C482" s="9"/>
      <c r="D482" s="5">
        <v>8</v>
      </c>
      <c r="E482" s="303" t="s">
        <v>210</v>
      </c>
      <c r="F482" s="20" t="s">
        <v>211</v>
      </c>
      <c r="G482" s="306"/>
      <c r="H482" s="306"/>
      <c r="I482" s="306"/>
      <c r="J482" s="306"/>
      <c r="K482" s="306"/>
      <c r="L482" s="306"/>
      <c r="M482" s="306"/>
      <c r="N482" s="306"/>
      <c r="O482" s="306"/>
      <c r="P482" s="229"/>
      <c r="Q482" s="229"/>
    </row>
    <row r="483" spans="2:17" hidden="1" outlineLevel="1">
      <c r="C483" s="9"/>
      <c r="D483" s="52">
        <v>9</v>
      </c>
      <c r="E483" s="293" t="s">
        <v>212</v>
      </c>
      <c r="F483" s="55" t="s">
        <v>287</v>
      </c>
      <c r="G483" s="306"/>
      <c r="H483" s="229"/>
      <c r="I483" s="307"/>
      <c r="J483" s="229"/>
      <c r="K483" s="229"/>
      <c r="L483" s="229"/>
      <c r="M483" s="229"/>
      <c r="N483" s="229"/>
      <c r="O483" s="229"/>
      <c r="P483" s="229"/>
      <c r="Q483" s="229"/>
    </row>
    <row r="484" spans="2:17" hidden="1" outlineLevel="1">
      <c r="C484" s="9"/>
      <c r="D484" s="7">
        <v>10</v>
      </c>
      <c r="E484" s="310" t="s">
        <v>213</v>
      </c>
      <c r="F484" s="22"/>
      <c r="G484" s="12" t="str">
        <f>IFERROR(+G480/G482,"")</f>
        <v/>
      </c>
      <c r="H484" s="13" t="str">
        <f>IFERROR(+H480/H482,"")</f>
        <v/>
      </c>
      <c r="I484" s="16" t="str">
        <f t="shared" ref="I484:Q484" si="120">IFERROR(+I480/I482,"")</f>
        <v/>
      </c>
      <c r="J484" s="13" t="str">
        <f t="shared" si="120"/>
        <v/>
      </c>
      <c r="K484" s="13" t="str">
        <f t="shared" si="120"/>
        <v/>
      </c>
      <c r="L484" s="13" t="str">
        <f t="shared" si="120"/>
        <v/>
      </c>
      <c r="M484" s="13" t="str">
        <f t="shared" si="120"/>
        <v/>
      </c>
      <c r="N484" s="13" t="str">
        <f t="shared" si="120"/>
        <v/>
      </c>
      <c r="O484" s="13" t="str">
        <f t="shared" si="120"/>
        <v/>
      </c>
      <c r="P484" s="13" t="str">
        <f t="shared" si="120"/>
        <v/>
      </c>
      <c r="Q484" s="13" t="str">
        <f t="shared" si="120"/>
        <v/>
      </c>
    </row>
    <row r="485" spans="2:17" hidden="1" outlineLevel="1">
      <c r="C485" s="9"/>
      <c r="D485" s="7">
        <v>11</v>
      </c>
      <c r="E485" s="310" t="s">
        <v>214</v>
      </c>
      <c r="F485" s="22" t="s">
        <v>215</v>
      </c>
      <c r="G485" s="14"/>
      <c r="H485" s="48" t="str">
        <f t="shared" ref="H485:Q485" si="121">IFERROR((H484-G484)/G484,"")</f>
        <v/>
      </c>
      <c r="I485" s="49" t="str">
        <f t="shared" si="121"/>
        <v/>
      </c>
      <c r="J485" s="48" t="str">
        <f t="shared" si="121"/>
        <v/>
      </c>
      <c r="K485" s="48" t="str">
        <f>IFERROR((K484-J484)/J484,"")</f>
        <v/>
      </c>
      <c r="L485" s="48" t="str">
        <f t="shared" si="121"/>
        <v/>
      </c>
      <c r="M485" s="48" t="str">
        <f t="shared" si="121"/>
        <v/>
      </c>
      <c r="N485" s="48" t="str">
        <f t="shared" si="121"/>
        <v/>
      </c>
      <c r="O485" s="48" t="str">
        <f t="shared" si="121"/>
        <v/>
      </c>
      <c r="P485" s="48" t="str">
        <f t="shared" si="121"/>
        <v/>
      </c>
      <c r="Q485" s="48" t="str">
        <f t="shared" si="121"/>
        <v/>
      </c>
    </row>
    <row r="486" spans="2:17" hidden="1" outlineLevel="1">
      <c r="C486" s="9"/>
      <c r="D486" s="7">
        <v>12</v>
      </c>
      <c r="E486" s="310" t="s">
        <v>216</v>
      </c>
      <c r="F486" s="21"/>
      <c r="G486" s="70" t="str">
        <f t="shared" ref="G486:Q486" si="122">IFERROR(+G481/G483,"")</f>
        <v/>
      </c>
      <c r="H486" s="71" t="str">
        <f t="shared" si="122"/>
        <v/>
      </c>
      <c r="I486" s="71" t="str">
        <f t="shared" si="122"/>
        <v/>
      </c>
      <c r="J486" s="71" t="str">
        <f t="shared" si="122"/>
        <v/>
      </c>
      <c r="K486" s="71" t="str">
        <f t="shared" si="122"/>
        <v/>
      </c>
      <c r="L486" s="71" t="str">
        <f t="shared" si="122"/>
        <v/>
      </c>
      <c r="M486" s="71" t="str">
        <f t="shared" si="122"/>
        <v/>
      </c>
      <c r="N486" s="71" t="str">
        <f t="shared" si="122"/>
        <v/>
      </c>
      <c r="O486" s="71" t="str">
        <f t="shared" si="122"/>
        <v/>
      </c>
      <c r="P486" s="71" t="str">
        <f t="shared" si="122"/>
        <v/>
      </c>
      <c r="Q486" s="71" t="str">
        <f t="shared" si="122"/>
        <v/>
      </c>
    </row>
    <row r="487" spans="2:17" hidden="1" outlineLevel="1">
      <c r="D487" s="7">
        <v>13</v>
      </c>
      <c r="E487" s="310" t="s">
        <v>217</v>
      </c>
      <c r="F487" s="21" t="s">
        <v>218</v>
      </c>
      <c r="G487" s="14"/>
      <c r="H487" s="48" t="str">
        <f t="shared" ref="H487:Q487" si="123">IFERROR((H486-G486)/G486,"")</f>
        <v/>
      </c>
      <c r="I487" s="49" t="str">
        <f t="shared" si="123"/>
        <v/>
      </c>
      <c r="J487" s="48" t="str">
        <f t="shared" si="123"/>
        <v/>
      </c>
      <c r="K487" s="48" t="str">
        <f t="shared" si="123"/>
        <v/>
      </c>
      <c r="L487" s="48" t="str">
        <f t="shared" si="123"/>
        <v/>
      </c>
      <c r="M487" s="48" t="str">
        <f t="shared" si="123"/>
        <v/>
      </c>
      <c r="N487" s="48" t="str">
        <f t="shared" si="123"/>
        <v/>
      </c>
      <c r="O487" s="48" t="str">
        <f t="shared" si="123"/>
        <v/>
      </c>
      <c r="P487" s="48" t="str">
        <f t="shared" si="123"/>
        <v/>
      </c>
      <c r="Q487" s="48" t="str">
        <f t="shared" si="123"/>
        <v/>
      </c>
    </row>
    <row r="488" spans="2:17" collapsed="1">
      <c r="E488" s="314"/>
    </row>
    <row r="489" spans="2:17" ht="18.5" thickBot="1">
      <c r="B489" s="69"/>
      <c r="C489" s="46" t="s">
        <v>309</v>
      </c>
      <c r="D489" s="4"/>
      <c r="E489" s="308"/>
      <c r="F489" s="240" t="str">
        <f>IF(G490="","","折りたたまれたセルのグループ（非表示行）を展開して、入力項目を入力してください。")</f>
        <v/>
      </c>
      <c r="L489" s="51"/>
    </row>
    <row r="490" spans="2:17" ht="50.15" customHeight="1" thickBot="1">
      <c r="D490" s="128">
        <v>1</v>
      </c>
      <c r="E490" s="311" t="s">
        <v>275</v>
      </c>
      <c r="F490" s="129"/>
      <c r="G490" s="130" t="str">
        <f>IF($G$104="","",$G$104)</f>
        <v/>
      </c>
    </row>
    <row r="491" spans="2:17" hidden="1" outlineLevel="1">
      <c r="D491" s="52">
        <v>2</v>
      </c>
      <c r="E491" s="312" t="s">
        <v>292</v>
      </c>
      <c r="F491" s="57" t="s">
        <v>241</v>
      </c>
      <c r="G491" s="144"/>
    </row>
    <row r="492" spans="2:17" ht="33" hidden="1" outlineLevel="1">
      <c r="D492" s="52">
        <v>3</v>
      </c>
      <c r="E492" s="312" t="s">
        <v>277</v>
      </c>
      <c r="F492" s="30" t="s">
        <v>241</v>
      </c>
      <c r="G492" s="141"/>
      <c r="K492" s="375" t="s">
        <v>278</v>
      </c>
      <c r="L492" s="375"/>
      <c r="M492" s="375"/>
      <c r="N492" s="375"/>
      <c r="O492" s="196"/>
      <c r="P492" s="195" t="s">
        <v>279</v>
      </c>
      <c r="Q492" s="50" t="s">
        <v>280</v>
      </c>
    </row>
    <row r="493" spans="2:17" hidden="1" outlineLevel="1">
      <c r="D493" s="52">
        <v>4</v>
      </c>
      <c r="E493" s="293" t="s">
        <v>281</v>
      </c>
      <c r="F493" s="19" t="s">
        <v>241</v>
      </c>
      <c r="G493" s="141"/>
      <c r="H493" s="6"/>
      <c r="K493" s="375"/>
      <c r="L493" s="375"/>
      <c r="M493" s="375"/>
      <c r="N493" s="375"/>
      <c r="O493" s="125" t="s">
        <v>282</v>
      </c>
      <c r="P493" s="131" t="str">
        <f>IF(AND(COUNTA($G500:$Q500)&gt;0,SUMIF($G500:$Q500,"&lt;&gt;"&amp;"")=0),"－",IFERROR(((HLOOKUP(EDATE($F$13,36),$G497:$Q505,6,FALSE))/(HLOOKUP(EDATE($F$13,0),$G497:$Q505,6,FALSE)))^(1/3)-1,""))</f>
        <v/>
      </c>
      <c r="Q493" s="376">
        <v>4.4999999999999998E-2</v>
      </c>
    </row>
    <row r="494" spans="2:17" ht="36" hidden="1" outlineLevel="1">
      <c r="D494" s="52">
        <v>5</v>
      </c>
      <c r="E494" s="293" t="s">
        <v>283</v>
      </c>
      <c r="F494" s="19" t="s">
        <v>256</v>
      </c>
      <c r="G494" s="315"/>
      <c r="H494" s="6"/>
      <c r="K494" s="375"/>
      <c r="L494" s="375"/>
      <c r="M494" s="375"/>
      <c r="N494" s="375"/>
      <c r="O494" s="125" t="s">
        <v>284</v>
      </c>
      <c r="P494" s="125" t="str">
        <f>IF(AND(COUNTA($G501:$Q501)&gt;0,SUMIF($G501:$Q501,"&lt;&gt;"&amp;"")=0),"－",IFERROR(((HLOOKUP(EDATE($F$13,36),$G497:$Q505,8,FALSE))/(HLOOKUP(EDATE($F$13,0),$G497:$Q505,8,FALSE)))^(1/3)-1,""))</f>
        <v/>
      </c>
      <c r="Q494" s="377"/>
    </row>
    <row r="495" spans="2:17" hidden="1" outlineLevel="1">
      <c r="D495" s="35"/>
      <c r="E495" s="316" t="s">
        <v>257</v>
      </c>
      <c r="F495" s="34"/>
      <c r="G495" s="1" t="s">
        <v>179</v>
      </c>
    </row>
    <row r="496" spans="2:17" hidden="1" outlineLevel="1">
      <c r="E496" s="308"/>
      <c r="G496" s="64" t="s">
        <v>181</v>
      </c>
      <c r="H496" s="64" t="s">
        <v>182</v>
      </c>
      <c r="I496" s="64" t="s">
        <v>183</v>
      </c>
      <c r="J496" s="132" t="s">
        <v>184</v>
      </c>
      <c r="K496" s="132"/>
      <c r="L496" s="132"/>
      <c r="M496" s="132"/>
      <c r="N496" s="132"/>
      <c r="O496" s="132"/>
      <c r="P496" s="132"/>
      <c r="Q496" s="132"/>
    </row>
    <row r="497" spans="2:17" hidden="1" outlineLevel="1">
      <c r="D497" s="11"/>
      <c r="E497" s="206"/>
      <c r="F497" s="56"/>
      <c r="G497" s="63" t="str">
        <f>IF($I497="","",EDATE(H497,-12))</f>
        <v/>
      </c>
      <c r="H497" s="63" t="str">
        <f>IF($I497="","",EDATE(I497,-12))</f>
        <v/>
      </c>
      <c r="I497" s="63" t="str">
        <f>IF($I$12="","",$I$12)</f>
        <v/>
      </c>
      <c r="J497" s="63" t="str">
        <f t="shared" ref="J497:Q497" si="124">IF($I497="","",EDATE(I497,12))</f>
        <v/>
      </c>
      <c r="K497" s="63" t="str">
        <f t="shared" si="124"/>
        <v/>
      </c>
      <c r="L497" s="63" t="str">
        <f t="shared" si="124"/>
        <v/>
      </c>
      <c r="M497" s="63" t="str">
        <f t="shared" si="124"/>
        <v/>
      </c>
      <c r="N497" s="63" t="str">
        <f t="shared" si="124"/>
        <v/>
      </c>
      <c r="O497" s="63" t="str">
        <f t="shared" si="124"/>
        <v/>
      </c>
      <c r="P497" s="63" t="str">
        <f t="shared" si="124"/>
        <v/>
      </c>
      <c r="Q497" s="63" t="str">
        <f t="shared" si="124"/>
        <v/>
      </c>
    </row>
    <row r="498" spans="2:17" hidden="1" outlineLevel="1">
      <c r="D498" s="52">
        <v>6</v>
      </c>
      <c r="E498" s="293" t="s">
        <v>206</v>
      </c>
      <c r="F498" s="55"/>
      <c r="G498" s="138"/>
      <c r="H498" s="138"/>
      <c r="I498" s="138"/>
      <c r="J498" s="138"/>
      <c r="K498" s="138"/>
      <c r="L498" s="138"/>
      <c r="M498" s="138"/>
      <c r="N498" s="138"/>
      <c r="O498" s="138"/>
      <c r="P498" s="106"/>
      <c r="Q498" s="106"/>
    </row>
    <row r="499" spans="2:17" hidden="1" outlineLevel="1">
      <c r="C499" s="9"/>
      <c r="D499" s="52">
        <v>7</v>
      </c>
      <c r="E499" s="293" t="s">
        <v>207</v>
      </c>
      <c r="F499" s="55"/>
      <c r="G499" s="138"/>
      <c r="H499" s="106"/>
      <c r="I499" s="139"/>
      <c r="J499" s="106"/>
      <c r="K499" s="106"/>
      <c r="L499" s="154"/>
      <c r="M499" s="106"/>
      <c r="N499" s="106"/>
      <c r="O499" s="106"/>
      <c r="P499" s="106"/>
      <c r="Q499" s="106"/>
    </row>
    <row r="500" spans="2:17" hidden="1" outlineLevel="1">
      <c r="C500" s="9"/>
      <c r="D500" s="5">
        <v>8</v>
      </c>
      <c r="E500" s="303" t="s">
        <v>210</v>
      </c>
      <c r="F500" s="20" t="s">
        <v>211</v>
      </c>
      <c r="G500" s="306"/>
      <c r="H500" s="306"/>
      <c r="I500" s="306"/>
      <c r="J500" s="306"/>
      <c r="K500" s="306"/>
      <c r="L500" s="306"/>
      <c r="M500" s="306"/>
      <c r="N500" s="306"/>
      <c r="O500" s="306"/>
      <c r="P500" s="229"/>
      <c r="Q500" s="229"/>
    </row>
    <row r="501" spans="2:17" hidden="1" outlineLevel="1">
      <c r="C501" s="9"/>
      <c r="D501" s="52">
        <v>9</v>
      </c>
      <c r="E501" s="293" t="s">
        <v>212</v>
      </c>
      <c r="F501" s="55" t="s">
        <v>287</v>
      </c>
      <c r="G501" s="306"/>
      <c r="H501" s="229"/>
      <c r="I501" s="307"/>
      <c r="J501" s="229"/>
      <c r="K501" s="229"/>
      <c r="L501" s="229"/>
      <c r="M501" s="229"/>
      <c r="N501" s="229"/>
      <c r="O501" s="229"/>
      <c r="P501" s="229"/>
      <c r="Q501" s="229"/>
    </row>
    <row r="502" spans="2:17" hidden="1" outlineLevel="1">
      <c r="C502" s="9"/>
      <c r="D502" s="7">
        <v>10</v>
      </c>
      <c r="E502" s="310" t="s">
        <v>213</v>
      </c>
      <c r="F502" s="22"/>
      <c r="G502" s="12" t="str">
        <f>IFERROR(+G498/G500,"")</f>
        <v/>
      </c>
      <c r="H502" s="13" t="str">
        <f>IFERROR(+H498/H500,"")</f>
        <v/>
      </c>
      <c r="I502" s="16" t="str">
        <f t="shared" ref="I502:Q502" si="125">IFERROR(+I498/I500,"")</f>
        <v/>
      </c>
      <c r="J502" s="13" t="str">
        <f t="shared" si="125"/>
        <v/>
      </c>
      <c r="K502" s="13" t="str">
        <f t="shared" si="125"/>
        <v/>
      </c>
      <c r="L502" s="13" t="str">
        <f t="shared" si="125"/>
        <v/>
      </c>
      <c r="M502" s="13" t="str">
        <f t="shared" si="125"/>
        <v/>
      </c>
      <c r="N502" s="13" t="str">
        <f t="shared" si="125"/>
        <v/>
      </c>
      <c r="O502" s="13" t="str">
        <f t="shared" si="125"/>
        <v/>
      </c>
      <c r="P502" s="13" t="str">
        <f t="shared" si="125"/>
        <v/>
      </c>
      <c r="Q502" s="13" t="str">
        <f t="shared" si="125"/>
        <v/>
      </c>
    </row>
    <row r="503" spans="2:17" hidden="1" outlineLevel="1">
      <c r="C503" s="9"/>
      <c r="D503" s="7">
        <v>11</v>
      </c>
      <c r="E503" s="310" t="s">
        <v>214</v>
      </c>
      <c r="F503" s="22" t="s">
        <v>215</v>
      </c>
      <c r="G503" s="14"/>
      <c r="H503" s="48" t="str">
        <f t="shared" ref="H503:Q503" si="126">IFERROR((H502-G502)/G502,"")</f>
        <v/>
      </c>
      <c r="I503" s="49" t="str">
        <f t="shared" si="126"/>
        <v/>
      </c>
      <c r="J503" s="48" t="str">
        <f t="shared" si="126"/>
        <v/>
      </c>
      <c r="K503" s="48" t="str">
        <f>IFERROR((K502-J502)/J502,"")</f>
        <v/>
      </c>
      <c r="L503" s="48" t="str">
        <f t="shared" si="126"/>
        <v/>
      </c>
      <c r="M503" s="48" t="str">
        <f t="shared" si="126"/>
        <v/>
      </c>
      <c r="N503" s="48" t="str">
        <f t="shared" si="126"/>
        <v/>
      </c>
      <c r="O503" s="48" t="str">
        <f t="shared" si="126"/>
        <v/>
      </c>
      <c r="P503" s="48" t="str">
        <f t="shared" si="126"/>
        <v/>
      </c>
      <c r="Q503" s="48" t="str">
        <f t="shared" si="126"/>
        <v/>
      </c>
    </row>
    <row r="504" spans="2:17" hidden="1" outlineLevel="1">
      <c r="C504" s="9"/>
      <c r="D504" s="7">
        <v>12</v>
      </c>
      <c r="E504" s="310" t="s">
        <v>216</v>
      </c>
      <c r="F504" s="21"/>
      <c r="G504" s="70" t="str">
        <f t="shared" ref="G504:Q504" si="127">IFERROR(+G499/G501,"")</f>
        <v/>
      </c>
      <c r="H504" s="71" t="str">
        <f t="shared" si="127"/>
        <v/>
      </c>
      <c r="I504" s="71" t="str">
        <f t="shared" si="127"/>
        <v/>
      </c>
      <c r="J504" s="71" t="str">
        <f t="shared" si="127"/>
        <v/>
      </c>
      <c r="K504" s="71" t="str">
        <f t="shared" si="127"/>
        <v/>
      </c>
      <c r="L504" s="71" t="str">
        <f t="shared" si="127"/>
        <v/>
      </c>
      <c r="M504" s="71" t="str">
        <f t="shared" si="127"/>
        <v/>
      </c>
      <c r="N504" s="71" t="str">
        <f t="shared" si="127"/>
        <v/>
      </c>
      <c r="O504" s="71" t="str">
        <f t="shared" si="127"/>
        <v/>
      </c>
      <c r="P504" s="71" t="str">
        <f t="shared" si="127"/>
        <v/>
      </c>
      <c r="Q504" s="71" t="str">
        <f t="shared" si="127"/>
        <v/>
      </c>
    </row>
    <row r="505" spans="2:17" hidden="1" outlineLevel="1">
      <c r="D505" s="7">
        <v>13</v>
      </c>
      <c r="E505" s="310" t="s">
        <v>217</v>
      </c>
      <c r="F505" s="21" t="s">
        <v>218</v>
      </c>
      <c r="G505" s="14"/>
      <c r="H505" s="48" t="str">
        <f t="shared" ref="H505:Q505" si="128">IFERROR((H504-G504)/G504,"")</f>
        <v/>
      </c>
      <c r="I505" s="49" t="str">
        <f t="shared" si="128"/>
        <v/>
      </c>
      <c r="J505" s="48" t="str">
        <f t="shared" si="128"/>
        <v/>
      </c>
      <c r="K505" s="48" t="str">
        <f t="shared" si="128"/>
        <v/>
      </c>
      <c r="L505" s="48" t="str">
        <f t="shared" si="128"/>
        <v/>
      </c>
      <c r="M505" s="48" t="str">
        <f t="shared" si="128"/>
        <v/>
      </c>
      <c r="N505" s="48" t="str">
        <f t="shared" si="128"/>
        <v/>
      </c>
      <c r="O505" s="48" t="str">
        <f t="shared" si="128"/>
        <v/>
      </c>
      <c r="P505" s="48" t="str">
        <f t="shared" si="128"/>
        <v/>
      </c>
      <c r="Q505" s="48" t="str">
        <f t="shared" si="128"/>
        <v/>
      </c>
    </row>
    <row r="506" spans="2:17" collapsed="1">
      <c r="E506" s="314"/>
    </row>
    <row r="507" spans="2:17" ht="18.5" thickBot="1">
      <c r="B507" s="69"/>
      <c r="C507" s="46" t="s">
        <v>310</v>
      </c>
      <c r="D507" s="4"/>
      <c r="E507" s="308"/>
      <c r="F507" s="240" t="str">
        <f>IF(G508="","","折りたたまれたセルのグループ（非表示行）を展開して、入力項目を入力してください。")</f>
        <v/>
      </c>
      <c r="L507" s="51"/>
    </row>
    <row r="508" spans="2:17" ht="50.15" customHeight="1" thickBot="1">
      <c r="D508" s="128">
        <v>1</v>
      </c>
      <c r="E508" s="311" t="s">
        <v>275</v>
      </c>
      <c r="F508" s="129"/>
      <c r="G508" s="130" t="str">
        <f>IF($H$104="","",$H$104)</f>
        <v/>
      </c>
    </row>
    <row r="509" spans="2:17" hidden="1" outlineLevel="1">
      <c r="D509" s="52">
        <v>2</v>
      </c>
      <c r="E509" s="312" t="s">
        <v>292</v>
      </c>
      <c r="F509" s="57" t="s">
        <v>241</v>
      </c>
      <c r="G509" s="144"/>
    </row>
    <row r="510" spans="2:17" ht="33" hidden="1" outlineLevel="1">
      <c r="D510" s="52">
        <v>3</v>
      </c>
      <c r="E510" s="312" t="s">
        <v>277</v>
      </c>
      <c r="F510" s="30" t="s">
        <v>241</v>
      </c>
      <c r="G510" s="141"/>
      <c r="K510" s="375" t="s">
        <v>278</v>
      </c>
      <c r="L510" s="375"/>
      <c r="M510" s="375"/>
      <c r="N510" s="375"/>
      <c r="O510" s="196"/>
      <c r="P510" s="195" t="s">
        <v>279</v>
      </c>
      <c r="Q510" s="50" t="s">
        <v>280</v>
      </c>
    </row>
    <row r="511" spans="2:17" hidden="1" outlineLevel="1">
      <c r="D511" s="52">
        <v>4</v>
      </c>
      <c r="E511" s="293" t="s">
        <v>281</v>
      </c>
      <c r="F511" s="19" t="s">
        <v>241</v>
      </c>
      <c r="G511" s="141"/>
      <c r="H511" s="6"/>
      <c r="K511" s="375"/>
      <c r="L511" s="375"/>
      <c r="M511" s="375"/>
      <c r="N511" s="375"/>
      <c r="O511" s="125" t="s">
        <v>282</v>
      </c>
      <c r="P511" s="131" t="str">
        <f>IF(AND(COUNTA($G518:$Q518)&gt;0,SUMIF($G518:$Q518,"&lt;&gt;"&amp;"")=0),"－",IFERROR(((HLOOKUP(EDATE($F$13,36),$G515:$Q523,6,FALSE))/(HLOOKUP(EDATE($F$13,0),$G515:$Q523,6,FALSE)))^(1/3)-1,""))</f>
        <v/>
      </c>
      <c r="Q511" s="376">
        <v>4.4999999999999998E-2</v>
      </c>
    </row>
    <row r="512" spans="2:17" ht="36" hidden="1" outlineLevel="1">
      <c r="D512" s="52">
        <v>5</v>
      </c>
      <c r="E512" s="293" t="s">
        <v>283</v>
      </c>
      <c r="F512" s="19" t="s">
        <v>256</v>
      </c>
      <c r="G512" s="315"/>
      <c r="H512" s="6"/>
      <c r="K512" s="375"/>
      <c r="L512" s="375"/>
      <c r="M512" s="375"/>
      <c r="N512" s="375"/>
      <c r="O512" s="125" t="s">
        <v>284</v>
      </c>
      <c r="P512" s="125" t="str">
        <f>IF(AND(COUNTA($G519:$Q519)&gt;0,SUMIF($G519:$Q519,"&lt;&gt;"&amp;"")=0),"－",IFERROR(((HLOOKUP(EDATE($F$13,36),$G515:$Q523,8,FALSE))/(HLOOKUP(EDATE($F$13,0),$G515:$Q523,8,FALSE)))^(1/3)-1,""))</f>
        <v/>
      </c>
      <c r="Q512" s="377"/>
    </row>
    <row r="513" spans="2:17" hidden="1" outlineLevel="1">
      <c r="D513" s="35"/>
      <c r="E513" s="316" t="s">
        <v>257</v>
      </c>
      <c r="F513" s="34"/>
      <c r="G513" s="1" t="s">
        <v>179</v>
      </c>
    </row>
    <row r="514" spans="2:17" hidden="1" outlineLevel="1">
      <c r="E514" s="308"/>
      <c r="G514" s="64" t="s">
        <v>181</v>
      </c>
      <c r="H514" s="64" t="s">
        <v>182</v>
      </c>
      <c r="I514" s="64" t="s">
        <v>183</v>
      </c>
      <c r="J514" s="132" t="s">
        <v>184</v>
      </c>
      <c r="K514" s="132"/>
      <c r="L514" s="132"/>
      <c r="M514" s="132"/>
      <c r="N514" s="132"/>
      <c r="O514" s="132"/>
      <c r="P514" s="132"/>
      <c r="Q514" s="132"/>
    </row>
    <row r="515" spans="2:17" hidden="1" outlineLevel="1">
      <c r="D515" s="11"/>
      <c r="E515" s="206"/>
      <c r="F515" s="56"/>
      <c r="G515" s="63" t="str">
        <f>IF($I515="","",EDATE(H515,-12))</f>
        <v/>
      </c>
      <c r="H515" s="63" t="str">
        <f>IF($I515="","",EDATE(I515,-12))</f>
        <v/>
      </c>
      <c r="I515" s="63" t="str">
        <f>IF($I$12="","",$I$12)</f>
        <v/>
      </c>
      <c r="J515" s="63" t="str">
        <f t="shared" ref="J515:Q515" si="129">IF($I515="","",EDATE(I515,12))</f>
        <v/>
      </c>
      <c r="K515" s="63" t="str">
        <f t="shared" si="129"/>
        <v/>
      </c>
      <c r="L515" s="63" t="str">
        <f t="shared" si="129"/>
        <v/>
      </c>
      <c r="M515" s="63" t="str">
        <f t="shared" si="129"/>
        <v/>
      </c>
      <c r="N515" s="63" t="str">
        <f t="shared" si="129"/>
        <v/>
      </c>
      <c r="O515" s="63" t="str">
        <f t="shared" si="129"/>
        <v/>
      </c>
      <c r="P515" s="63" t="str">
        <f t="shared" si="129"/>
        <v/>
      </c>
      <c r="Q515" s="63" t="str">
        <f t="shared" si="129"/>
        <v/>
      </c>
    </row>
    <row r="516" spans="2:17" hidden="1" outlineLevel="1">
      <c r="D516" s="52">
        <v>6</v>
      </c>
      <c r="E516" s="293" t="s">
        <v>206</v>
      </c>
      <c r="F516" s="55"/>
      <c r="G516" s="138"/>
      <c r="H516" s="138"/>
      <c r="I516" s="138"/>
      <c r="J516" s="138"/>
      <c r="K516" s="138"/>
      <c r="L516" s="138"/>
      <c r="M516" s="138"/>
      <c r="N516" s="138"/>
      <c r="O516" s="138"/>
      <c r="P516" s="106"/>
      <c r="Q516" s="106"/>
    </row>
    <row r="517" spans="2:17" hidden="1" outlineLevel="1">
      <c r="C517" s="9"/>
      <c r="D517" s="52">
        <v>7</v>
      </c>
      <c r="E517" s="293" t="s">
        <v>207</v>
      </c>
      <c r="F517" s="55"/>
      <c r="G517" s="138"/>
      <c r="H517" s="106"/>
      <c r="I517" s="139"/>
      <c r="J517" s="106"/>
      <c r="K517" s="106"/>
      <c r="L517" s="154"/>
      <c r="M517" s="106"/>
      <c r="N517" s="106"/>
      <c r="O517" s="106"/>
      <c r="P517" s="106"/>
      <c r="Q517" s="106"/>
    </row>
    <row r="518" spans="2:17" hidden="1" outlineLevel="1">
      <c r="C518" s="9"/>
      <c r="D518" s="5">
        <v>8</v>
      </c>
      <c r="E518" s="303" t="s">
        <v>210</v>
      </c>
      <c r="F518" s="20" t="s">
        <v>211</v>
      </c>
      <c r="G518" s="306"/>
      <c r="H518" s="306"/>
      <c r="I518" s="306"/>
      <c r="J518" s="306"/>
      <c r="K518" s="306"/>
      <c r="L518" s="306"/>
      <c r="M518" s="306"/>
      <c r="N518" s="306"/>
      <c r="O518" s="306"/>
      <c r="P518" s="229"/>
      <c r="Q518" s="229"/>
    </row>
    <row r="519" spans="2:17" hidden="1" outlineLevel="1">
      <c r="C519" s="9"/>
      <c r="D519" s="52">
        <v>9</v>
      </c>
      <c r="E519" s="293" t="s">
        <v>212</v>
      </c>
      <c r="F519" s="55" t="s">
        <v>287</v>
      </c>
      <c r="G519" s="306"/>
      <c r="H519" s="229"/>
      <c r="I519" s="307"/>
      <c r="J519" s="229"/>
      <c r="K519" s="229"/>
      <c r="L519" s="229"/>
      <c r="M519" s="229"/>
      <c r="N519" s="229"/>
      <c r="O519" s="229"/>
      <c r="P519" s="229"/>
      <c r="Q519" s="229"/>
    </row>
    <row r="520" spans="2:17" hidden="1" outlineLevel="1">
      <c r="C520" s="9"/>
      <c r="D520" s="7">
        <v>10</v>
      </c>
      <c r="E520" s="310" t="s">
        <v>213</v>
      </c>
      <c r="F520" s="22"/>
      <c r="G520" s="12" t="str">
        <f>IFERROR(+G516/G518,"")</f>
        <v/>
      </c>
      <c r="H520" s="13" t="str">
        <f>IFERROR(+H516/H518,"")</f>
        <v/>
      </c>
      <c r="I520" s="16" t="str">
        <f t="shared" ref="I520:Q520" si="130">IFERROR(+I516/I518,"")</f>
        <v/>
      </c>
      <c r="J520" s="13" t="str">
        <f t="shared" si="130"/>
        <v/>
      </c>
      <c r="K520" s="13" t="str">
        <f t="shared" si="130"/>
        <v/>
      </c>
      <c r="L520" s="13" t="str">
        <f t="shared" si="130"/>
        <v/>
      </c>
      <c r="M520" s="13" t="str">
        <f t="shared" si="130"/>
        <v/>
      </c>
      <c r="N520" s="13" t="str">
        <f t="shared" si="130"/>
        <v/>
      </c>
      <c r="O520" s="13" t="str">
        <f t="shared" si="130"/>
        <v/>
      </c>
      <c r="P520" s="13" t="str">
        <f t="shared" si="130"/>
        <v/>
      </c>
      <c r="Q520" s="13" t="str">
        <f t="shared" si="130"/>
        <v/>
      </c>
    </row>
    <row r="521" spans="2:17" hidden="1" outlineLevel="1">
      <c r="C521" s="9"/>
      <c r="D521" s="7">
        <v>11</v>
      </c>
      <c r="E521" s="310" t="s">
        <v>214</v>
      </c>
      <c r="F521" s="22" t="s">
        <v>215</v>
      </c>
      <c r="G521" s="14"/>
      <c r="H521" s="48" t="str">
        <f t="shared" ref="H521:Q521" si="131">IFERROR((H520-G520)/G520,"")</f>
        <v/>
      </c>
      <c r="I521" s="49" t="str">
        <f t="shared" si="131"/>
        <v/>
      </c>
      <c r="J521" s="48" t="str">
        <f t="shared" si="131"/>
        <v/>
      </c>
      <c r="K521" s="48" t="str">
        <f>IFERROR((K520-J520)/J520,"")</f>
        <v/>
      </c>
      <c r="L521" s="48" t="str">
        <f t="shared" si="131"/>
        <v/>
      </c>
      <c r="M521" s="48" t="str">
        <f t="shared" si="131"/>
        <v/>
      </c>
      <c r="N521" s="48" t="str">
        <f t="shared" si="131"/>
        <v/>
      </c>
      <c r="O521" s="48" t="str">
        <f t="shared" si="131"/>
        <v/>
      </c>
      <c r="P521" s="48" t="str">
        <f t="shared" si="131"/>
        <v/>
      </c>
      <c r="Q521" s="48" t="str">
        <f t="shared" si="131"/>
        <v/>
      </c>
    </row>
    <row r="522" spans="2:17" hidden="1" outlineLevel="1">
      <c r="C522" s="9"/>
      <c r="D522" s="7">
        <v>12</v>
      </c>
      <c r="E522" s="310" t="s">
        <v>216</v>
      </c>
      <c r="F522" s="21"/>
      <c r="G522" s="70" t="str">
        <f t="shared" ref="G522:Q522" si="132">IFERROR(+G517/G519,"")</f>
        <v/>
      </c>
      <c r="H522" s="71" t="str">
        <f t="shared" si="132"/>
        <v/>
      </c>
      <c r="I522" s="71" t="str">
        <f t="shared" si="132"/>
        <v/>
      </c>
      <c r="J522" s="71" t="str">
        <f t="shared" si="132"/>
        <v/>
      </c>
      <c r="K522" s="71" t="str">
        <f t="shared" si="132"/>
        <v/>
      </c>
      <c r="L522" s="71" t="str">
        <f t="shared" si="132"/>
        <v/>
      </c>
      <c r="M522" s="71" t="str">
        <f t="shared" si="132"/>
        <v/>
      </c>
      <c r="N522" s="71" t="str">
        <f t="shared" si="132"/>
        <v/>
      </c>
      <c r="O522" s="71" t="str">
        <f t="shared" si="132"/>
        <v/>
      </c>
      <c r="P522" s="71" t="str">
        <f t="shared" si="132"/>
        <v/>
      </c>
      <c r="Q522" s="71" t="str">
        <f t="shared" si="132"/>
        <v/>
      </c>
    </row>
    <row r="523" spans="2:17" hidden="1" outlineLevel="1">
      <c r="D523" s="7">
        <v>13</v>
      </c>
      <c r="E523" s="310" t="s">
        <v>217</v>
      </c>
      <c r="F523" s="21" t="s">
        <v>218</v>
      </c>
      <c r="G523" s="14"/>
      <c r="H523" s="48" t="str">
        <f t="shared" ref="H523:Q523" si="133">IFERROR((H522-G522)/G522,"")</f>
        <v/>
      </c>
      <c r="I523" s="49" t="str">
        <f t="shared" si="133"/>
        <v/>
      </c>
      <c r="J523" s="48" t="str">
        <f t="shared" si="133"/>
        <v/>
      </c>
      <c r="K523" s="48" t="str">
        <f t="shared" si="133"/>
        <v/>
      </c>
      <c r="L523" s="48" t="str">
        <f t="shared" si="133"/>
        <v/>
      </c>
      <c r="M523" s="48" t="str">
        <f t="shared" si="133"/>
        <v/>
      </c>
      <c r="N523" s="48" t="str">
        <f t="shared" si="133"/>
        <v/>
      </c>
      <c r="O523" s="48" t="str">
        <f t="shared" si="133"/>
        <v/>
      </c>
      <c r="P523" s="48" t="str">
        <f t="shared" si="133"/>
        <v/>
      </c>
      <c r="Q523" s="48" t="str">
        <f t="shared" si="133"/>
        <v/>
      </c>
    </row>
    <row r="524" spans="2:17" collapsed="1">
      <c r="E524" s="314"/>
    </row>
    <row r="525" spans="2:17" ht="18.5" thickBot="1">
      <c r="B525" s="69"/>
      <c r="C525" s="46" t="s">
        <v>311</v>
      </c>
      <c r="D525" s="4"/>
      <c r="E525" s="308"/>
      <c r="F525" s="240" t="str">
        <f>IF(G526="","","折りたたまれたセルのグループ（非表示行）を展開して、入力項目を入力してください。")</f>
        <v/>
      </c>
      <c r="L525" s="51"/>
    </row>
    <row r="526" spans="2:17" ht="50.15" customHeight="1" thickBot="1">
      <c r="D526" s="128">
        <v>1</v>
      </c>
      <c r="E526" s="311" t="s">
        <v>275</v>
      </c>
      <c r="F526" s="129"/>
      <c r="G526" s="130" t="str">
        <f>IF($I$104="","",$I$104)</f>
        <v/>
      </c>
    </row>
    <row r="527" spans="2:17" hidden="1" outlineLevel="1">
      <c r="D527" s="52">
        <v>2</v>
      </c>
      <c r="E527" s="312" t="s">
        <v>292</v>
      </c>
      <c r="F527" s="57" t="s">
        <v>241</v>
      </c>
      <c r="G527" s="144"/>
    </row>
    <row r="528" spans="2:17" ht="33" hidden="1" outlineLevel="1">
      <c r="D528" s="52">
        <v>3</v>
      </c>
      <c r="E528" s="312" t="s">
        <v>277</v>
      </c>
      <c r="F528" s="30" t="s">
        <v>241</v>
      </c>
      <c r="G528" s="141"/>
      <c r="K528" s="375" t="s">
        <v>278</v>
      </c>
      <c r="L528" s="375"/>
      <c r="M528" s="375"/>
      <c r="N528" s="375"/>
      <c r="O528" s="196"/>
      <c r="P528" s="195" t="s">
        <v>279</v>
      </c>
      <c r="Q528" s="50" t="s">
        <v>280</v>
      </c>
    </row>
    <row r="529" spans="2:17" hidden="1" outlineLevel="1">
      <c r="D529" s="52">
        <v>4</v>
      </c>
      <c r="E529" s="293" t="s">
        <v>281</v>
      </c>
      <c r="F529" s="19" t="s">
        <v>241</v>
      </c>
      <c r="G529" s="141"/>
      <c r="H529" s="6"/>
      <c r="K529" s="375"/>
      <c r="L529" s="375"/>
      <c r="M529" s="375"/>
      <c r="N529" s="375"/>
      <c r="O529" s="125" t="s">
        <v>282</v>
      </c>
      <c r="P529" s="131" t="str">
        <f>IF(AND(COUNTA($G536:$Q536)&gt;0,SUMIF($G536:$Q536,"&lt;&gt;"&amp;"")=0),"－",IFERROR(((HLOOKUP(EDATE($F$13,36),$G533:$Q541,6,FALSE))/(HLOOKUP(EDATE($F$13,0),$G533:$Q541,6,FALSE)))^(1/3)-1,""))</f>
        <v/>
      </c>
      <c r="Q529" s="376">
        <v>4.4999999999999998E-2</v>
      </c>
    </row>
    <row r="530" spans="2:17" ht="36" hidden="1" outlineLevel="1">
      <c r="D530" s="52">
        <v>5</v>
      </c>
      <c r="E530" s="293" t="s">
        <v>283</v>
      </c>
      <c r="F530" s="19" t="s">
        <v>256</v>
      </c>
      <c r="G530" s="315"/>
      <c r="H530" s="6"/>
      <c r="K530" s="375"/>
      <c r="L530" s="375"/>
      <c r="M530" s="375"/>
      <c r="N530" s="375"/>
      <c r="O530" s="125" t="s">
        <v>284</v>
      </c>
      <c r="P530" s="125" t="str">
        <f>IF(AND(COUNTA($G537:$Q537)&gt;0,SUMIF($G537:$Q537,"&lt;&gt;"&amp;"")=0),"－",IFERROR(((HLOOKUP(EDATE($F$13,36),$G533:$Q541,8,FALSE))/(HLOOKUP(EDATE($F$13,0),$G533:$Q541,8,FALSE)))^(1/3)-1,""))</f>
        <v/>
      </c>
      <c r="Q530" s="377"/>
    </row>
    <row r="531" spans="2:17" hidden="1" outlineLevel="1">
      <c r="D531" s="35"/>
      <c r="E531" s="316" t="s">
        <v>257</v>
      </c>
      <c r="F531" s="34"/>
      <c r="G531" s="1" t="s">
        <v>179</v>
      </c>
    </row>
    <row r="532" spans="2:17" hidden="1" outlineLevel="1">
      <c r="E532" s="308"/>
      <c r="G532" s="64" t="s">
        <v>181</v>
      </c>
      <c r="H532" s="64" t="s">
        <v>182</v>
      </c>
      <c r="I532" s="64" t="s">
        <v>183</v>
      </c>
      <c r="J532" s="132" t="s">
        <v>184</v>
      </c>
      <c r="K532" s="132"/>
      <c r="L532" s="132"/>
      <c r="M532" s="132"/>
      <c r="N532" s="132"/>
      <c r="O532" s="132"/>
      <c r="P532" s="132"/>
      <c r="Q532" s="132"/>
    </row>
    <row r="533" spans="2:17" hidden="1" outlineLevel="1">
      <c r="D533" s="11"/>
      <c r="E533" s="206"/>
      <c r="F533" s="56"/>
      <c r="G533" s="63" t="str">
        <f>IF($I533="","",EDATE(H533,-12))</f>
        <v/>
      </c>
      <c r="H533" s="63" t="str">
        <f>IF($I533="","",EDATE(I533,-12))</f>
        <v/>
      </c>
      <c r="I533" s="63" t="str">
        <f>IF($I$12="","",$I$12)</f>
        <v/>
      </c>
      <c r="J533" s="63" t="str">
        <f t="shared" ref="J533:Q533" si="134">IF($I533="","",EDATE(I533,12))</f>
        <v/>
      </c>
      <c r="K533" s="63" t="str">
        <f t="shared" si="134"/>
        <v/>
      </c>
      <c r="L533" s="63" t="str">
        <f t="shared" si="134"/>
        <v/>
      </c>
      <c r="M533" s="63" t="str">
        <f t="shared" si="134"/>
        <v/>
      </c>
      <c r="N533" s="63" t="str">
        <f t="shared" si="134"/>
        <v/>
      </c>
      <c r="O533" s="63" t="str">
        <f t="shared" si="134"/>
        <v/>
      </c>
      <c r="P533" s="63" t="str">
        <f t="shared" si="134"/>
        <v/>
      </c>
      <c r="Q533" s="63" t="str">
        <f t="shared" si="134"/>
        <v/>
      </c>
    </row>
    <row r="534" spans="2:17" hidden="1" outlineLevel="1">
      <c r="D534" s="52">
        <v>6</v>
      </c>
      <c r="E534" s="293" t="s">
        <v>206</v>
      </c>
      <c r="F534" s="55"/>
      <c r="G534" s="138"/>
      <c r="H534" s="138"/>
      <c r="I534" s="138"/>
      <c r="J534" s="138"/>
      <c r="K534" s="138"/>
      <c r="L534" s="138"/>
      <c r="M534" s="138"/>
      <c r="N534" s="138"/>
      <c r="O534" s="138"/>
      <c r="P534" s="106"/>
      <c r="Q534" s="106"/>
    </row>
    <row r="535" spans="2:17" hidden="1" outlineLevel="1">
      <c r="C535" s="9"/>
      <c r="D535" s="52">
        <v>7</v>
      </c>
      <c r="E535" s="293" t="s">
        <v>207</v>
      </c>
      <c r="F535" s="55"/>
      <c r="G535" s="138"/>
      <c r="H535" s="106"/>
      <c r="I535" s="139"/>
      <c r="J535" s="106"/>
      <c r="K535" s="106"/>
      <c r="L535" s="154"/>
      <c r="M535" s="106"/>
      <c r="N535" s="106"/>
      <c r="O535" s="106"/>
      <c r="P535" s="106"/>
      <c r="Q535" s="106"/>
    </row>
    <row r="536" spans="2:17" hidden="1" outlineLevel="1">
      <c r="C536" s="9"/>
      <c r="D536" s="5">
        <v>8</v>
      </c>
      <c r="E536" s="303" t="s">
        <v>210</v>
      </c>
      <c r="F536" s="20" t="s">
        <v>211</v>
      </c>
      <c r="G536" s="306"/>
      <c r="H536" s="306"/>
      <c r="I536" s="306"/>
      <c r="J536" s="306"/>
      <c r="K536" s="306"/>
      <c r="L536" s="306"/>
      <c r="M536" s="306"/>
      <c r="N536" s="306"/>
      <c r="O536" s="306"/>
      <c r="P536" s="229"/>
      <c r="Q536" s="229"/>
    </row>
    <row r="537" spans="2:17" hidden="1" outlineLevel="1">
      <c r="C537" s="9"/>
      <c r="D537" s="52">
        <v>9</v>
      </c>
      <c r="E537" s="293" t="s">
        <v>212</v>
      </c>
      <c r="F537" s="55" t="s">
        <v>287</v>
      </c>
      <c r="G537" s="306"/>
      <c r="H537" s="229"/>
      <c r="I537" s="307"/>
      <c r="J537" s="229"/>
      <c r="K537" s="229"/>
      <c r="L537" s="229"/>
      <c r="M537" s="229"/>
      <c r="N537" s="229"/>
      <c r="O537" s="229"/>
      <c r="P537" s="229"/>
      <c r="Q537" s="229"/>
    </row>
    <row r="538" spans="2:17" hidden="1" outlineLevel="1">
      <c r="C538" s="9"/>
      <c r="D538" s="7">
        <v>10</v>
      </c>
      <c r="E538" s="310" t="s">
        <v>213</v>
      </c>
      <c r="F538" s="22"/>
      <c r="G538" s="12" t="str">
        <f>IFERROR(+G534/G536,"")</f>
        <v/>
      </c>
      <c r="H538" s="13" t="str">
        <f>IFERROR(+H534/H536,"")</f>
        <v/>
      </c>
      <c r="I538" s="16" t="str">
        <f t="shared" ref="I538:Q538" si="135">IFERROR(+I534/I536,"")</f>
        <v/>
      </c>
      <c r="J538" s="13" t="str">
        <f t="shared" si="135"/>
        <v/>
      </c>
      <c r="K538" s="13" t="str">
        <f t="shared" si="135"/>
        <v/>
      </c>
      <c r="L538" s="13" t="str">
        <f t="shared" si="135"/>
        <v/>
      </c>
      <c r="M538" s="13" t="str">
        <f t="shared" si="135"/>
        <v/>
      </c>
      <c r="N538" s="13" t="str">
        <f t="shared" si="135"/>
        <v/>
      </c>
      <c r="O538" s="13" t="str">
        <f t="shared" si="135"/>
        <v/>
      </c>
      <c r="P538" s="13" t="str">
        <f t="shared" si="135"/>
        <v/>
      </c>
      <c r="Q538" s="13" t="str">
        <f t="shared" si="135"/>
        <v/>
      </c>
    </row>
    <row r="539" spans="2:17" hidden="1" outlineLevel="1">
      <c r="C539" s="9"/>
      <c r="D539" s="7">
        <v>11</v>
      </c>
      <c r="E539" s="310" t="s">
        <v>214</v>
      </c>
      <c r="F539" s="22" t="s">
        <v>215</v>
      </c>
      <c r="G539" s="14"/>
      <c r="H539" s="48" t="str">
        <f t="shared" ref="H539:Q539" si="136">IFERROR((H538-G538)/G538,"")</f>
        <v/>
      </c>
      <c r="I539" s="49" t="str">
        <f t="shared" si="136"/>
        <v/>
      </c>
      <c r="J539" s="48" t="str">
        <f t="shared" si="136"/>
        <v/>
      </c>
      <c r="K539" s="48" t="str">
        <f>IFERROR((K538-J538)/J538,"")</f>
        <v/>
      </c>
      <c r="L539" s="48" t="str">
        <f t="shared" si="136"/>
        <v/>
      </c>
      <c r="M539" s="48" t="str">
        <f t="shared" si="136"/>
        <v/>
      </c>
      <c r="N539" s="48" t="str">
        <f t="shared" si="136"/>
        <v/>
      </c>
      <c r="O539" s="48" t="str">
        <f t="shared" si="136"/>
        <v/>
      </c>
      <c r="P539" s="48" t="str">
        <f t="shared" si="136"/>
        <v/>
      </c>
      <c r="Q539" s="48" t="str">
        <f t="shared" si="136"/>
        <v/>
      </c>
    </row>
    <row r="540" spans="2:17" hidden="1" outlineLevel="1">
      <c r="C540" s="9"/>
      <c r="D540" s="7">
        <v>12</v>
      </c>
      <c r="E540" s="310" t="s">
        <v>216</v>
      </c>
      <c r="F540" s="21"/>
      <c r="G540" s="70" t="str">
        <f t="shared" ref="G540:Q540" si="137">IFERROR(+G535/G537,"")</f>
        <v/>
      </c>
      <c r="H540" s="71" t="str">
        <f t="shared" si="137"/>
        <v/>
      </c>
      <c r="I540" s="71" t="str">
        <f t="shared" si="137"/>
        <v/>
      </c>
      <c r="J540" s="71" t="str">
        <f t="shared" si="137"/>
        <v/>
      </c>
      <c r="K540" s="71" t="str">
        <f t="shared" si="137"/>
        <v/>
      </c>
      <c r="L540" s="71" t="str">
        <f t="shared" si="137"/>
        <v/>
      </c>
      <c r="M540" s="71" t="str">
        <f t="shared" si="137"/>
        <v/>
      </c>
      <c r="N540" s="71" t="str">
        <f t="shared" si="137"/>
        <v/>
      </c>
      <c r="O540" s="71" t="str">
        <f t="shared" si="137"/>
        <v/>
      </c>
      <c r="P540" s="71" t="str">
        <f t="shared" si="137"/>
        <v/>
      </c>
      <c r="Q540" s="71" t="str">
        <f t="shared" si="137"/>
        <v/>
      </c>
    </row>
    <row r="541" spans="2:17" hidden="1" outlineLevel="1">
      <c r="D541" s="7">
        <v>13</v>
      </c>
      <c r="E541" s="310" t="s">
        <v>217</v>
      </c>
      <c r="F541" s="21" t="s">
        <v>218</v>
      </c>
      <c r="G541" s="14"/>
      <c r="H541" s="48" t="str">
        <f t="shared" ref="H541:Q541" si="138">IFERROR((H540-G540)/G540,"")</f>
        <v/>
      </c>
      <c r="I541" s="49" t="str">
        <f t="shared" si="138"/>
        <v/>
      </c>
      <c r="J541" s="48" t="str">
        <f t="shared" si="138"/>
        <v/>
      </c>
      <c r="K541" s="48" t="str">
        <f t="shared" si="138"/>
        <v/>
      </c>
      <c r="L541" s="48" t="str">
        <f t="shared" si="138"/>
        <v/>
      </c>
      <c r="M541" s="48" t="str">
        <f t="shared" si="138"/>
        <v/>
      </c>
      <c r="N541" s="48" t="str">
        <f t="shared" si="138"/>
        <v/>
      </c>
      <c r="O541" s="48" t="str">
        <f t="shared" si="138"/>
        <v/>
      </c>
      <c r="P541" s="48" t="str">
        <f t="shared" si="138"/>
        <v/>
      </c>
      <c r="Q541" s="48" t="str">
        <f t="shared" si="138"/>
        <v/>
      </c>
    </row>
    <row r="542" spans="2:17" collapsed="1">
      <c r="E542" s="314"/>
    </row>
    <row r="543" spans="2:17" ht="18.5" thickBot="1">
      <c r="B543" s="69"/>
      <c r="C543" s="46" t="s">
        <v>312</v>
      </c>
      <c r="D543" s="4"/>
      <c r="E543" s="308"/>
      <c r="F543" s="240" t="str">
        <f>IF(G544="","","折りたたまれたセルのグループ（非表示行）を展開して、入力項目を入力してください。")</f>
        <v/>
      </c>
      <c r="L543" s="51"/>
    </row>
    <row r="544" spans="2:17" ht="50.15" customHeight="1" thickBot="1">
      <c r="D544" s="128">
        <v>1</v>
      </c>
      <c r="E544" s="311" t="s">
        <v>275</v>
      </c>
      <c r="F544" s="129"/>
      <c r="G544" s="130" t="str">
        <f>IF($J$104="","",$J$104)</f>
        <v/>
      </c>
    </row>
    <row r="545" spans="3:17" hidden="1" outlineLevel="1">
      <c r="D545" s="52">
        <v>2</v>
      </c>
      <c r="E545" s="312" t="s">
        <v>292</v>
      </c>
      <c r="F545" s="57" t="s">
        <v>241</v>
      </c>
      <c r="G545" s="144"/>
    </row>
    <row r="546" spans="3:17" ht="33" hidden="1" outlineLevel="1">
      <c r="D546" s="52">
        <v>3</v>
      </c>
      <c r="E546" s="312" t="s">
        <v>277</v>
      </c>
      <c r="F546" s="30" t="s">
        <v>241</v>
      </c>
      <c r="G546" s="141"/>
      <c r="K546" s="375" t="s">
        <v>278</v>
      </c>
      <c r="L546" s="375"/>
      <c r="M546" s="375"/>
      <c r="N546" s="375"/>
      <c r="O546" s="196"/>
      <c r="P546" s="195" t="s">
        <v>279</v>
      </c>
      <c r="Q546" s="50" t="s">
        <v>280</v>
      </c>
    </row>
    <row r="547" spans="3:17" hidden="1" outlineLevel="1">
      <c r="D547" s="52">
        <v>4</v>
      </c>
      <c r="E547" s="293" t="s">
        <v>281</v>
      </c>
      <c r="F547" s="19" t="s">
        <v>241</v>
      </c>
      <c r="G547" s="141"/>
      <c r="H547" s="6"/>
      <c r="K547" s="375"/>
      <c r="L547" s="375"/>
      <c r="M547" s="375"/>
      <c r="N547" s="375"/>
      <c r="O547" s="125" t="s">
        <v>282</v>
      </c>
      <c r="P547" s="131" t="str">
        <f>IF(AND(COUNTA($G554:$Q554)&gt;0,SUMIF($G554:$Q554,"&lt;&gt;"&amp;"")=0),"－",IFERROR(((HLOOKUP(EDATE($F$13,36),$G551:$Q559,6,FALSE))/(HLOOKUP(EDATE($F$13,0),$G551:$Q559,6,FALSE)))^(1/3)-1,""))</f>
        <v/>
      </c>
      <c r="Q547" s="376">
        <v>4.4999999999999998E-2</v>
      </c>
    </row>
    <row r="548" spans="3:17" ht="36" hidden="1" outlineLevel="1">
      <c r="D548" s="52">
        <v>5</v>
      </c>
      <c r="E548" s="293" t="s">
        <v>283</v>
      </c>
      <c r="F548" s="19" t="s">
        <v>256</v>
      </c>
      <c r="G548" s="315"/>
      <c r="H548" s="6"/>
      <c r="K548" s="375"/>
      <c r="L548" s="375"/>
      <c r="M548" s="375"/>
      <c r="N548" s="375"/>
      <c r="O548" s="125" t="s">
        <v>284</v>
      </c>
      <c r="P548" s="125" t="str">
        <f>IF(AND(COUNTA($G555:$Q555)&gt;0,SUMIF($G555:$Q555,"&lt;&gt;"&amp;"")=0),"－",IFERROR(((HLOOKUP(EDATE($F$13,36),$G551:$Q559,8,FALSE))/(HLOOKUP(EDATE($F$13,0),$G551:$Q559,8,FALSE)))^(1/3)-1,""))</f>
        <v/>
      </c>
      <c r="Q548" s="377"/>
    </row>
    <row r="549" spans="3:17" hidden="1" outlineLevel="1">
      <c r="D549" s="35"/>
      <c r="E549" s="316" t="s">
        <v>257</v>
      </c>
      <c r="F549" s="34"/>
      <c r="G549" s="1" t="s">
        <v>179</v>
      </c>
    </row>
    <row r="550" spans="3:17" hidden="1" outlineLevel="1">
      <c r="E550" s="308"/>
      <c r="G550" s="64" t="s">
        <v>181</v>
      </c>
      <c r="H550" s="64" t="s">
        <v>182</v>
      </c>
      <c r="I550" s="64" t="s">
        <v>183</v>
      </c>
      <c r="J550" s="132" t="s">
        <v>184</v>
      </c>
      <c r="K550" s="132"/>
      <c r="L550" s="132"/>
      <c r="M550" s="132"/>
      <c r="N550" s="132"/>
      <c r="O550" s="132"/>
      <c r="P550" s="132"/>
      <c r="Q550" s="132"/>
    </row>
    <row r="551" spans="3:17" hidden="1" outlineLevel="1">
      <c r="D551" s="11"/>
      <c r="E551" s="206"/>
      <c r="F551" s="56"/>
      <c r="G551" s="63" t="str">
        <f>IF($I551="","",EDATE(H551,-12))</f>
        <v/>
      </c>
      <c r="H551" s="63" t="str">
        <f>IF($I551="","",EDATE(I551,-12))</f>
        <v/>
      </c>
      <c r="I551" s="63" t="str">
        <f>IF($I$12="","",$I$12)</f>
        <v/>
      </c>
      <c r="J551" s="63" t="str">
        <f t="shared" ref="J551:Q551" si="139">IF($I551="","",EDATE(I551,12))</f>
        <v/>
      </c>
      <c r="K551" s="63" t="str">
        <f t="shared" si="139"/>
        <v/>
      </c>
      <c r="L551" s="63" t="str">
        <f t="shared" si="139"/>
        <v/>
      </c>
      <c r="M551" s="63" t="str">
        <f t="shared" si="139"/>
        <v/>
      </c>
      <c r="N551" s="63" t="str">
        <f t="shared" si="139"/>
        <v/>
      </c>
      <c r="O551" s="63" t="str">
        <f t="shared" si="139"/>
        <v/>
      </c>
      <c r="P551" s="63" t="str">
        <f t="shared" si="139"/>
        <v/>
      </c>
      <c r="Q551" s="63" t="str">
        <f t="shared" si="139"/>
        <v/>
      </c>
    </row>
    <row r="552" spans="3:17" hidden="1" outlineLevel="1">
      <c r="D552" s="52">
        <v>6</v>
      </c>
      <c r="E552" s="293" t="s">
        <v>206</v>
      </c>
      <c r="F552" s="55"/>
      <c r="G552" s="138"/>
      <c r="H552" s="138"/>
      <c r="I552" s="138"/>
      <c r="J552" s="138"/>
      <c r="K552" s="138"/>
      <c r="L552" s="138"/>
      <c r="M552" s="138"/>
      <c r="N552" s="138"/>
      <c r="O552" s="138"/>
      <c r="P552" s="106"/>
      <c r="Q552" s="106"/>
    </row>
    <row r="553" spans="3:17" hidden="1" outlineLevel="1">
      <c r="C553" s="9"/>
      <c r="D553" s="52">
        <v>7</v>
      </c>
      <c r="E553" s="293" t="s">
        <v>207</v>
      </c>
      <c r="F553" s="55"/>
      <c r="G553" s="138"/>
      <c r="H553" s="106"/>
      <c r="I553" s="139"/>
      <c r="J553" s="106"/>
      <c r="K553" s="106"/>
      <c r="L553" s="154"/>
      <c r="M553" s="106"/>
      <c r="N553" s="106"/>
      <c r="O553" s="106"/>
      <c r="P553" s="106"/>
      <c r="Q553" s="106"/>
    </row>
    <row r="554" spans="3:17" hidden="1" outlineLevel="1">
      <c r="C554" s="9"/>
      <c r="D554" s="5">
        <v>8</v>
      </c>
      <c r="E554" s="303" t="s">
        <v>210</v>
      </c>
      <c r="F554" s="20" t="s">
        <v>211</v>
      </c>
      <c r="G554" s="306"/>
      <c r="H554" s="306"/>
      <c r="I554" s="306"/>
      <c r="J554" s="306"/>
      <c r="K554" s="306"/>
      <c r="L554" s="306"/>
      <c r="M554" s="306"/>
      <c r="N554" s="306"/>
      <c r="O554" s="306"/>
      <c r="P554" s="229"/>
      <c r="Q554" s="229"/>
    </row>
    <row r="555" spans="3:17" hidden="1" outlineLevel="1">
      <c r="C555" s="9"/>
      <c r="D555" s="52">
        <v>9</v>
      </c>
      <c r="E555" s="293" t="s">
        <v>212</v>
      </c>
      <c r="F555" s="55" t="s">
        <v>287</v>
      </c>
      <c r="G555" s="306"/>
      <c r="H555" s="229"/>
      <c r="I555" s="307"/>
      <c r="J555" s="229"/>
      <c r="K555" s="229"/>
      <c r="L555" s="229"/>
      <c r="M555" s="229"/>
      <c r="N555" s="229"/>
      <c r="O555" s="229"/>
      <c r="P555" s="229"/>
      <c r="Q555" s="229"/>
    </row>
    <row r="556" spans="3:17" hidden="1" outlineLevel="1">
      <c r="C556" s="9"/>
      <c r="D556" s="7">
        <v>10</v>
      </c>
      <c r="E556" s="310" t="s">
        <v>213</v>
      </c>
      <c r="F556" s="22"/>
      <c r="G556" s="12" t="str">
        <f>IFERROR(+G552/G554,"")</f>
        <v/>
      </c>
      <c r="H556" s="13" t="str">
        <f>IFERROR(+H552/H554,"")</f>
        <v/>
      </c>
      <c r="I556" s="16" t="str">
        <f t="shared" ref="I556:Q556" si="140">IFERROR(+I552/I554,"")</f>
        <v/>
      </c>
      <c r="J556" s="13" t="str">
        <f t="shared" si="140"/>
        <v/>
      </c>
      <c r="K556" s="13" t="str">
        <f t="shared" si="140"/>
        <v/>
      </c>
      <c r="L556" s="13" t="str">
        <f t="shared" si="140"/>
        <v/>
      </c>
      <c r="M556" s="13" t="str">
        <f t="shared" si="140"/>
        <v/>
      </c>
      <c r="N556" s="13" t="str">
        <f t="shared" si="140"/>
        <v/>
      </c>
      <c r="O556" s="13" t="str">
        <f t="shared" si="140"/>
        <v/>
      </c>
      <c r="P556" s="13" t="str">
        <f t="shared" si="140"/>
        <v/>
      </c>
      <c r="Q556" s="13" t="str">
        <f t="shared" si="140"/>
        <v/>
      </c>
    </row>
    <row r="557" spans="3:17" hidden="1" outlineLevel="1">
      <c r="C557" s="9"/>
      <c r="D557" s="7">
        <v>11</v>
      </c>
      <c r="E557" s="310" t="s">
        <v>214</v>
      </c>
      <c r="F557" s="22" t="s">
        <v>215</v>
      </c>
      <c r="G557" s="14"/>
      <c r="H557" s="48" t="str">
        <f t="shared" ref="H557:Q557" si="141">IFERROR((H556-G556)/G556,"")</f>
        <v/>
      </c>
      <c r="I557" s="49" t="str">
        <f t="shared" si="141"/>
        <v/>
      </c>
      <c r="J557" s="48" t="str">
        <f t="shared" si="141"/>
        <v/>
      </c>
      <c r="K557" s="48" t="str">
        <f>IFERROR((K556-J556)/J556,"")</f>
        <v/>
      </c>
      <c r="L557" s="48" t="str">
        <f t="shared" si="141"/>
        <v/>
      </c>
      <c r="M557" s="48" t="str">
        <f t="shared" si="141"/>
        <v/>
      </c>
      <c r="N557" s="48" t="str">
        <f t="shared" si="141"/>
        <v/>
      </c>
      <c r="O557" s="48" t="str">
        <f t="shared" si="141"/>
        <v/>
      </c>
      <c r="P557" s="48" t="str">
        <f t="shared" si="141"/>
        <v/>
      </c>
      <c r="Q557" s="48" t="str">
        <f t="shared" si="141"/>
        <v/>
      </c>
    </row>
    <row r="558" spans="3:17" hidden="1" outlineLevel="1">
      <c r="C558" s="9"/>
      <c r="D558" s="7">
        <v>12</v>
      </c>
      <c r="E558" s="310" t="s">
        <v>216</v>
      </c>
      <c r="F558" s="21"/>
      <c r="G558" s="70" t="str">
        <f t="shared" ref="G558:Q558" si="142">IFERROR(+G553/G555,"")</f>
        <v/>
      </c>
      <c r="H558" s="71" t="str">
        <f t="shared" si="142"/>
        <v/>
      </c>
      <c r="I558" s="71" t="str">
        <f t="shared" si="142"/>
        <v/>
      </c>
      <c r="J558" s="71" t="str">
        <f t="shared" si="142"/>
        <v/>
      </c>
      <c r="K558" s="71" t="str">
        <f t="shared" si="142"/>
        <v/>
      </c>
      <c r="L558" s="71" t="str">
        <f t="shared" si="142"/>
        <v/>
      </c>
      <c r="M558" s="71" t="str">
        <f t="shared" si="142"/>
        <v/>
      </c>
      <c r="N558" s="71" t="str">
        <f t="shared" si="142"/>
        <v/>
      </c>
      <c r="O558" s="71" t="str">
        <f t="shared" si="142"/>
        <v/>
      </c>
      <c r="P558" s="71" t="str">
        <f t="shared" si="142"/>
        <v/>
      </c>
      <c r="Q558" s="71" t="str">
        <f t="shared" si="142"/>
        <v/>
      </c>
    </row>
    <row r="559" spans="3:17" hidden="1" outlineLevel="1">
      <c r="D559" s="7">
        <v>13</v>
      </c>
      <c r="E559" s="310" t="s">
        <v>217</v>
      </c>
      <c r="F559" s="21" t="s">
        <v>218</v>
      </c>
      <c r="G559" s="14"/>
      <c r="H559" s="48" t="str">
        <f t="shared" ref="H559:Q559" si="143">IFERROR((H558-G558)/G558,"")</f>
        <v/>
      </c>
      <c r="I559" s="49" t="str">
        <f t="shared" si="143"/>
        <v/>
      </c>
      <c r="J559" s="48" t="str">
        <f t="shared" si="143"/>
        <v/>
      </c>
      <c r="K559" s="48" t="str">
        <f t="shared" si="143"/>
        <v/>
      </c>
      <c r="L559" s="48" t="str">
        <f t="shared" si="143"/>
        <v/>
      </c>
      <c r="M559" s="48" t="str">
        <f t="shared" si="143"/>
        <v/>
      </c>
      <c r="N559" s="48" t="str">
        <f t="shared" si="143"/>
        <v/>
      </c>
      <c r="O559" s="48" t="str">
        <f t="shared" si="143"/>
        <v/>
      </c>
      <c r="P559" s="48" t="str">
        <f t="shared" si="143"/>
        <v/>
      </c>
      <c r="Q559" s="48" t="str">
        <f t="shared" si="143"/>
        <v/>
      </c>
    </row>
    <row r="560" spans="3:17" collapsed="1">
      <c r="E560" s="314"/>
    </row>
    <row r="561" spans="2:17" ht="18.5" thickBot="1">
      <c r="B561" s="69"/>
      <c r="C561" s="46" t="s">
        <v>313</v>
      </c>
      <c r="D561" s="4"/>
      <c r="E561" s="308"/>
      <c r="F561" s="240" t="str">
        <f>IF(G562="","","折りたたまれたセルのグループ（非表示行）を展開して、入力項目を入力してください。")</f>
        <v/>
      </c>
      <c r="L561" s="51"/>
    </row>
    <row r="562" spans="2:17" ht="50.15" customHeight="1" thickBot="1">
      <c r="D562" s="128">
        <v>1</v>
      </c>
      <c r="E562" s="311" t="s">
        <v>275</v>
      </c>
      <c r="F562" s="129"/>
      <c r="G562" s="130" t="str">
        <f>IF($K$104="","",$K$104)</f>
        <v/>
      </c>
    </row>
    <row r="563" spans="2:17" hidden="1" outlineLevel="1">
      <c r="D563" s="52">
        <v>2</v>
      </c>
      <c r="E563" s="312" t="s">
        <v>292</v>
      </c>
      <c r="F563" s="57" t="s">
        <v>241</v>
      </c>
      <c r="G563" s="144"/>
    </row>
    <row r="564" spans="2:17" ht="33" hidden="1" outlineLevel="1">
      <c r="D564" s="52">
        <v>3</v>
      </c>
      <c r="E564" s="312" t="s">
        <v>277</v>
      </c>
      <c r="F564" s="30" t="s">
        <v>241</v>
      </c>
      <c r="G564" s="141"/>
      <c r="K564" s="375" t="s">
        <v>278</v>
      </c>
      <c r="L564" s="375"/>
      <c r="M564" s="375"/>
      <c r="N564" s="375"/>
      <c r="O564" s="196"/>
      <c r="P564" s="195" t="s">
        <v>279</v>
      </c>
      <c r="Q564" s="50" t="s">
        <v>280</v>
      </c>
    </row>
    <row r="565" spans="2:17" hidden="1" outlineLevel="1">
      <c r="D565" s="52">
        <v>4</v>
      </c>
      <c r="E565" s="293" t="s">
        <v>281</v>
      </c>
      <c r="F565" s="19" t="s">
        <v>241</v>
      </c>
      <c r="G565" s="141"/>
      <c r="H565" s="6"/>
      <c r="K565" s="375"/>
      <c r="L565" s="375"/>
      <c r="M565" s="375"/>
      <c r="N565" s="375"/>
      <c r="O565" s="125" t="s">
        <v>282</v>
      </c>
      <c r="P565" s="131" t="str">
        <f>IF(AND(COUNTA($G572:$Q572)&gt;0,SUMIF($G572:$Q572,"&lt;&gt;"&amp;"")=0),"－",IFERROR(((HLOOKUP(EDATE($F$13,36),$G569:$Q577,6,FALSE))/(HLOOKUP(EDATE($F$13,0),$G569:$Q577,6,FALSE)))^(1/3)-1,""))</f>
        <v/>
      </c>
      <c r="Q565" s="376">
        <v>4.4999999999999998E-2</v>
      </c>
    </row>
    <row r="566" spans="2:17" ht="36" hidden="1" outlineLevel="1">
      <c r="D566" s="52">
        <v>5</v>
      </c>
      <c r="E566" s="293" t="s">
        <v>283</v>
      </c>
      <c r="F566" s="19" t="s">
        <v>256</v>
      </c>
      <c r="G566" s="315"/>
      <c r="H566" s="6"/>
      <c r="K566" s="375"/>
      <c r="L566" s="375"/>
      <c r="M566" s="375"/>
      <c r="N566" s="375"/>
      <c r="O566" s="125" t="s">
        <v>284</v>
      </c>
      <c r="P566" s="125" t="str">
        <f>IF(AND(COUNTA($G573:$Q573)&gt;0,SUMIF($G573:$Q573,"&lt;&gt;"&amp;"")=0),"－",IFERROR(((HLOOKUP(EDATE($F$13,36),$G569:$Q577,8,FALSE))/(HLOOKUP(EDATE($F$13,0),$G569:$Q577,8,FALSE)))^(1/3)-1,""))</f>
        <v/>
      </c>
      <c r="Q566" s="377"/>
    </row>
    <row r="567" spans="2:17" hidden="1" outlineLevel="1">
      <c r="D567" s="35"/>
      <c r="E567" s="316" t="s">
        <v>257</v>
      </c>
      <c r="F567" s="34"/>
      <c r="G567" s="1" t="s">
        <v>179</v>
      </c>
    </row>
    <row r="568" spans="2:17" hidden="1" outlineLevel="1">
      <c r="E568" s="308"/>
      <c r="G568" s="64" t="s">
        <v>181</v>
      </c>
      <c r="H568" s="64" t="s">
        <v>182</v>
      </c>
      <c r="I568" s="64" t="s">
        <v>183</v>
      </c>
      <c r="J568" s="132" t="s">
        <v>184</v>
      </c>
      <c r="K568" s="132"/>
      <c r="L568" s="132"/>
      <c r="M568" s="132"/>
      <c r="N568" s="132"/>
      <c r="O568" s="132"/>
      <c r="P568" s="132"/>
      <c r="Q568" s="132"/>
    </row>
    <row r="569" spans="2:17" hidden="1" outlineLevel="1">
      <c r="D569" s="11"/>
      <c r="E569" s="206"/>
      <c r="F569" s="56"/>
      <c r="G569" s="63" t="str">
        <f>IF($I569="","",EDATE(H569,-12))</f>
        <v/>
      </c>
      <c r="H569" s="63" t="str">
        <f>IF($I569="","",EDATE(I569,-12))</f>
        <v/>
      </c>
      <c r="I569" s="63" t="str">
        <f>IF($I$12="","",$I$12)</f>
        <v/>
      </c>
      <c r="J569" s="63" t="str">
        <f t="shared" ref="J569:Q569" si="144">IF($I569="","",EDATE(I569,12))</f>
        <v/>
      </c>
      <c r="K569" s="63" t="str">
        <f t="shared" si="144"/>
        <v/>
      </c>
      <c r="L569" s="63" t="str">
        <f t="shared" si="144"/>
        <v/>
      </c>
      <c r="M569" s="63" t="str">
        <f t="shared" si="144"/>
        <v/>
      </c>
      <c r="N569" s="63" t="str">
        <f t="shared" si="144"/>
        <v/>
      </c>
      <c r="O569" s="63" t="str">
        <f t="shared" si="144"/>
        <v/>
      </c>
      <c r="P569" s="63" t="str">
        <f t="shared" si="144"/>
        <v/>
      </c>
      <c r="Q569" s="63" t="str">
        <f t="shared" si="144"/>
        <v/>
      </c>
    </row>
    <row r="570" spans="2:17" hidden="1" outlineLevel="1">
      <c r="D570" s="52">
        <v>6</v>
      </c>
      <c r="E570" s="293" t="s">
        <v>206</v>
      </c>
      <c r="F570" s="55"/>
      <c r="G570" s="138"/>
      <c r="H570" s="138"/>
      <c r="I570" s="138"/>
      <c r="J570" s="138"/>
      <c r="K570" s="138"/>
      <c r="L570" s="138"/>
      <c r="M570" s="138"/>
      <c r="N570" s="138"/>
      <c r="O570" s="138"/>
      <c r="P570" s="106"/>
      <c r="Q570" s="106"/>
    </row>
    <row r="571" spans="2:17" hidden="1" outlineLevel="1">
      <c r="C571" s="9"/>
      <c r="D571" s="52">
        <v>7</v>
      </c>
      <c r="E571" s="293" t="s">
        <v>207</v>
      </c>
      <c r="F571" s="55"/>
      <c r="G571" s="138"/>
      <c r="H571" s="106"/>
      <c r="I571" s="139"/>
      <c r="J571" s="106"/>
      <c r="K571" s="106"/>
      <c r="L571" s="154"/>
      <c r="M571" s="106"/>
      <c r="N571" s="106"/>
      <c r="O571" s="106"/>
      <c r="P571" s="106"/>
      <c r="Q571" s="106"/>
    </row>
    <row r="572" spans="2:17" hidden="1" outlineLevel="1">
      <c r="C572" s="9"/>
      <c r="D572" s="5">
        <v>8</v>
      </c>
      <c r="E572" s="303" t="s">
        <v>210</v>
      </c>
      <c r="F572" s="20" t="s">
        <v>211</v>
      </c>
      <c r="G572" s="306"/>
      <c r="H572" s="306"/>
      <c r="I572" s="306"/>
      <c r="J572" s="306"/>
      <c r="K572" s="306"/>
      <c r="L572" s="306"/>
      <c r="M572" s="306"/>
      <c r="N572" s="306"/>
      <c r="O572" s="306"/>
      <c r="P572" s="229"/>
      <c r="Q572" s="229"/>
    </row>
    <row r="573" spans="2:17" hidden="1" outlineLevel="1">
      <c r="C573" s="9"/>
      <c r="D573" s="52">
        <v>9</v>
      </c>
      <c r="E573" s="293" t="s">
        <v>212</v>
      </c>
      <c r="F573" s="55" t="s">
        <v>287</v>
      </c>
      <c r="G573" s="306"/>
      <c r="H573" s="229"/>
      <c r="I573" s="307"/>
      <c r="J573" s="229"/>
      <c r="K573" s="229"/>
      <c r="L573" s="229"/>
      <c r="M573" s="229"/>
      <c r="N573" s="229"/>
      <c r="O573" s="229"/>
      <c r="P573" s="229"/>
      <c r="Q573" s="229"/>
    </row>
    <row r="574" spans="2:17" hidden="1" outlineLevel="1">
      <c r="C574" s="9"/>
      <c r="D574" s="7">
        <v>10</v>
      </c>
      <c r="E574" s="310" t="s">
        <v>213</v>
      </c>
      <c r="F574" s="22"/>
      <c r="G574" s="12" t="str">
        <f>IFERROR(+G570/G572,"")</f>
        <v/>
      </c>
      <c r="H574" s="13" t="str">
        <f>IFERROR(+H570/H572,"")</f>
        <v/>
      </c>
      <c r="I574" s="16" t="str">
        <f t="shared" ref="I574:Q574" si="145">IFERROR(+I570/I572,"")</f>
        <v/>
      </c>
      <c r="J574" s="13" t="str">
        <f t="shared" si="145"/>
        <v/>
      </c>
      <c r="K574" s="13" t="str">
        <f t="shared" si="145"/>
        <v/>
      </c>
      <c r="L574" s="13" t="str">
        <f t="shared" si="145"/>
        <v/>
      </c>
      <c r="M574" s="13" t="str">
        <f t="shared" si="145"/>
        <v/>
      </c>
      <c r="N574" s="13" t="str">
        <f t="shared" si="145"/>
        <v/>
      </c>
      <c r="O574" s="13" t="str">
        <f t="shared" si="145"/>
        <v/>
      </c>
      <c r="P574" s="13" t="str">
        <f t="shared" si="145"/>
        <v/>
      </c>
      <c r="Q574" s="13" t="str">
        <f t="shared" si="145"/>
        <v/>
      </c>
    </row>
    <row r="575" spans="2:17" hidden="1" outlineLevel="1">
      <c r="C575" s="9"/>
      <c r="D575" s="7">
        <v>11</v>
      </c>
      <c r="E575" s="310" t="s">
        <v>214</v>
      </c>
      <c r="F575" s="22" t="s">
        <v>215</v>
      </c>
      <c r="G575" s="14"/>
      <c r="H575" s="48" t="str">
        <f t="shared" ref="H575:Q575" si="146">IFERROR((H574-G574)/G574,"")</f>
        <v/>
      </c>
      <c r="I575" s="49" t="str">
        <f t="shared" si="146"/>
        <v/>
      </c>
      <c r="J575" s="48" t="str">
        <f t="shared" si="146"/>
        <v/>
      </c>
      <c r="K575" s="48" t="str">
        <f>IFERROR((K574-J574)/J574,"")</f>
        <v/>
      </c>
      <c r="L575" s="48" t="str">
        <f t="shared" si="146"/>
        <v/>
      </c>
      <c r="M575" s="48" t="str">
        <f t="shared" si="146"/>
        <v/>
      </c>
      <c r="N575" s="48" t="str">
        <f t="shared" si="146"/>
        <v/>
      </c>
      <c r="O575" s="48" t="str">
        <f t="shared" si="146"/>
        <v/>
      </c>
      <c r="P575" s="48" t="str">
        <f t="shared" si="146"/>
        <v/>
      </c>
      <c r="Q575" s="48" t="str">
        <f t="shared" si="146"/>
        <v/>
      </c>
    </row>
    <row r="576" spans="2:17" hidden="1" outlineLevel="1">
      <c r="C576" s="9"/>
      <c r="D576" s="7">
        <v>12</v>
      </c>
      <c r="E576" s="310" t="s">
        <v>216</v>
      </c>
      <c r="F576" s="21"/>
      <c r="G576" s="70" t="str">
        <f t="shared" ref="G576:Q576" si="147">IFERROR(+G571/G573,"")</f>
        <v/>
      </c>
      <c r="H576" s="71" t="str">
        <f t="shared" si="147"/>
        <v/>
      </c>
      <c r="I576" s="71" t="str">
        <f t="shared" si="147"/>
        <v/>
      </c>
      <c r="J576" s="71" t="str">
        <f t="shared" si="147"/>
        <v/>
      </c>
      <c r="K576" s="71" t="str">
        <f t="shared" si="147"/>
        <v/>
      </c>
      <c r="L576" s="71" t="str">
        <f t="shared" si="147"/>
        <v/>
      </c>
      <c r="M576" s="71" t="str">
        <f t="shared" si="147"/>
        <v/>
      </c>
      <c r="N576" s="71" t="str">
        <f t="shared" si="147"/>
        <v/>
      </c>
      <c r="O576" s="71" t="str">
        <f t="shared" si="147"/>
        <v/>
      </c>
      <c r="P576" s="71" t="str">
        <f t="shared" si="147"/>
        <v/>
      </c>
      <c r="Q576" s="71" t="str">
        <f t="shared" si="147"/>
        <v/>
      </c>
    </row>
    <row r="577" spans="2:17" hidden="1" outlineLevel="1">
      <c r="D577" s="7">
        <v>13</v>
      </c>
      <c r="E577" s="310" t="s">
        <v>217</v>
      </c>
      <c r="F577" s="21" t="s">
        <v>218</v>
      </c>
      <c r="G577" s="14"/>
      <c r="H577" s="48" t="str">
        <f t="shared" ref="H577:Q577" si="148">IFERROR((H576-G576)/G576,"")</f>
        <v/>
      </c>
      <c r="I577" s="49" t="str">
        <f t="shared" si="148"/>
        <v/>
      </c>
      <c r="J577" s="48" t="str">
        <f t="shared" si="148"/>
        <v/>
      </c>
      <c r="K577" s="48" t="str">
        <f t="shared" si="148"/>
        <v/>
      </c>
      <c r="L577" s="48" t="str">
        <f t="shared" si="148"/>
        <v/>
      </c>
      <c r="M577" s="48" t="str">
        <f t="shared" si="148"/>
        <v/>
      </c>
      <c r="N577" s="48" t="str">
        <f t="shared" si="148"/>
        <v/>
      </c>
      <c r="O577" s="48" t="str">
        <f t="shared" si="148"/>
        <v/>
      </c>
      <c r="P577" s="48" t="str">
        <f t="shared" si="148"/>
        <v/>
      </c>
      <c r="Q577" s="48" t="str">
        <f t="shared" si="148"/>
        <v/>
      </c>
    </row>
    <row r="578" spans="2:17" collapsed="1">
      <c r="E578" s="314"/>
    </row>
    <row r="579" spans="2:17" ht="18.5" thickBot="1">
      <c r="B579" s="69"/>
      <c r="C579" s="46" t="s">
        <v>314</v>
      </c>
      <c r="D579" s="4"/>
      <c r="E579" s="308"/>
      <c r="F579" s="240" t="str">
        <f>IF(G580="","","折りたたまれたセルのグループ（非表示行）を展開して、入力項目を入力してください。")</f>
        <v/>
      </c>
      <c r="L579" s="51"/>
    </row>
    <row r="580" spans="2:17" ht="50.15" customHeight="1" thickBot="1">
      <c r="D580" s="128">
        <v>1</v>
      </c>
      <c r="E580" s="311" t="s">
        <v>275</v>
      </c>
      <c r="F580" s="129"/>
      <c r="G580" s="130" t="str">
        <f>IF($L$104="","",$L$104)</f>
        <v/>
      </c>
    </row>
    <row r="581" spans="2:17" hidden="1" outlineLevel="1">
      <c r="D581" s="52">
        <v>2</v>
      </c>
      <c r="E581" s="312" t="s">
        <v>292</v>
      </c>
      <c r="F581" s="57" t="s">
        <v>241</v>
      </c>
      <c r="G581" s="144"/>
    </row>
    <row r="582" spans="2:17" ht="33" hidden="1" outlineLevel="1">
      <c r="D582" s="52">
        <v>3</v>
      </c>
      <c r="E582" s="312" t="s">
        <v>277</v>
      </c>
      <c r="F582" s="30" t="s">
        <v>241</v>
      </c>
      <c r="G582" s="141"/>
      <c r="K582" s="375" t="s">
        <v>278</v>
      </c>
      <c r="L582" s="375"/>
      <c r="M582" s="375"/>
      <c r="N582" s="375"/>
      <c r="O582" s="196"/>
      <c r="P582" s="195" t="s">
        <v>279</v>
      </c>
      <c r="Q582" s="50" t="s">
        <v>280</v>
      </c>
    </row>
    <row r="583" spans="2:17" hidden="1" outlineLevel="1">
      <c r="D583" s="52">
        <v>4</v>
      </c>
      <c r="E583" s="293" t="s">
        <v>281</v>
      </c>
      <c r="F583" s="19" t="s">
        <v>241</v>
      </c>
      <c r="G583" s="141"/>
      <c r="H583" s="6"/>
      <c r="K583" s="375"/>
      <c r="L583" s="375"/>
      <c r="M583" s="375"/>
      <c r="N583" s="375"/>
      <c r="O583" s="125" t="s">
        <v>282</v>
      </c>
      <c r="P583" s="131" t="str">
        <f>IF(AND(COUNTA($G590:$Q590)&gt;0,SUMIF($G590:$Q590,"&lt;&gt;"&amp;"")=0),"－",IFERROR(((HLOOKUP(EDATE($F$13,36),$G587:$Q595,6,FALSE))/(HLOOKUP(EDATE($F$13,0),$G587:$Q595,6,FALSE)))^(1/3)-1,""))</f>
        <v/>
      </c>
      <c r="Q583" s="376">
        <v>4.4999999999999998E-2</v>
      </c>
    </row>
    <row r="584" spans="2:17" ht="36" hidden="1" outlineLevel="1">
      <c r="D584" s="52">
        <v>5</v>
      </c>
      <c r="E584" s="293" t="s">
        <v>283</v>
      </c>
      <c r="F584" s="19" t="s">
        <v>256</v>
      </c>
      <c r="G584" s="315"/>
      <c r="H584" s="6"/>
      <c r="K584" s="375"/>
      <c r="L584" s="375"/>
      <c r="M584" s="375"/>
      <c r="N584" s="375"/>
      <c r="O584" s="125" t="s">
        <v>284</v>
      </c>
      <c r="P584" s="125" t="str">
        <f>IF(AND(COUNTA($G591:$Q591)&gt;0,SUMIF($G591:$Q591,"&lt;&gt;"&amp;"")=0),"－",IFERROR(((HLOOKUP(EDATE($F$13,36),$G587:$Q595,8,FALSE))/(HLOOKUP(EDATE($F$13,0),$G587:$Q595,8,FALSE)))^(1/3)-1,""))</f>
        <v/>
      </c>
      <c r="Q584" s="377"/>
    </row>
    <row r="585" spans="2:17" hidden="1" outlineLevel="1">
      <c r="D585" s="35"/>
      <c r="E585" s="316" t="s">
        <v>257</v>
      </c>
      <c r="F585" s="34"/>
      <c r="G585" s="1" t="s">
        <v>179</v>
      </c>
    </row>
    <row r="586" spans="2:17" hidden="1" outlineLevel="1">
      <c r="E586" s="308"/>
      <c r="G586" s="64" t="s">
        <v>181</v>
      </c>
      <c r="H586" s="64" t="s">
        <v>182</v>
      </c>
      <c r="I586" s="64" t="s">
        <v>183</v>
      </c>
      <c r="J586" s="132" t="s">
        <v>184</v>
      </c>
      <c r="K586" s="132"/>
      <c r="L586" s="132"/>
      <c r="M586" s="132"/>
      <c r="N586" s="132"/>
      <c r="O586" s="132"/>
      <c r="P586" s="132"/>
      <c r="Q586" s="132"/>
    </row>
    <row r="587" spans="2:17" hidden="1" outlineLevel="1">
      <c r="D587" s="11"/>
      <c r="E587" s="206"/>
      <c r="F587" s="56"/>
      <c r="G587" s="63" t="str">
        <f>IF($I587="","",EDATE(H587,-12))</f>
        <v/>
      </c>
      <c r="H587" s="63" t="str">
        <f>IF($I587="","",EDATE(I587,-12))</f>
        <v/>
      </c>
      <c r="I587" s="63" t="str">
        <f>IF($I$12="","",$I$12)</f>
        <v/>
      </c>
      <c r="J587" s="63" t="str">
        <f t="shared" ref="J587:Q587" si="149">IF($I587="","",EDATE(I587,12))</f>
        <v/>
      </c>
      <c r="K587" s="63" t="str">
        <f t="shared" si="149"/>
        <v/>
      </c>
      <c r="L587" s="63" t="str">
        <f t="shared" si="149"/>
        <v/>
      </c>
      <c r="M587" s="63" t="str">
        <f t="shared" si="149"/>
        <v/>
      </c>
      <c r="N587" s="63" t="str">
        <f t="shared" si="149"/>
        <v/>
      </c>
      <c r="O587" s="63" t="str">
        <f t="shared" si="149"/>
        <v/>
      </c>
      <c r="P587" s="63" t="str">
        <f t="shared" si="149"/>
        <v/>
      </c>
      <c r="Q587" s="63" t="str">
        <f t="shared" si="149"/>
        <v/>
      </c>
    </row>
    <row r="588" spans="2:17" hidden="1" outlineLevel="1">
      <c r="D588" s="52">
        <v>6</v>
      </c>
      <c r="E588" s="293" t="s">
        <v>206</v>
      </c>
      <c r="F588" s="55"/>
      <c r="G588" s="138"/>
      <c r="H588" s="138"/>
      <c r="I588" s="138"/>
      <c r="J588" s="138"/>
      <c r="K588" s="138"/>
      <c r="L588" s="138"/>
      <c r="M588" s="138"/>
      <c r="N588" s="138"/>
      <c r="O588" s="138"/>
      <c r="P588" s="106"/>
      <c r="Q588" s="106"/>
    </row>
    <row r="589" spans="2:17" hidden="1" outlineLevel="1">
      <c r="C589" s="9"/>
      <c r="D589" s="52">
        <v>7</v>
      </c>
      <c r="E589" s="293" t="s">
        <v>207</v>
      </c>
      <c r="F589" s="55"/>
      <c r="G589" s="138"/>
      <c r="H589" s="106"/>
      <c r="I589" s="139"/>
      <c r="J589" s="106"/>
      <c r="K589" s="106"/>
      <c r="L589" s="154"/>
      <c r="M589" s="106"/>
      <c r="N589" s="106"/>
      <c r="O589" s="106"/>
      <c r="P589" s="106"/>
      <c r="Q589" s="106"/>
    </row>
    <row r="590" spans="2:17" hidden="1" outlineLevel="1">
      <c r="C590" s="9"/>
      <c r="D590" s="5">
        <v>8</v>
      </c>
      <c r="E590" s="303" t="s">
        <v>210</v>
      </c>
      <c r="F590" s="20" t="s">
        <v>211</v>
      </c>
      <c r="G590" s="306"/>
      <c r="H590" s="306"/>
      <c r="I590" s="306"/>
      <c r="J590" s="306"/>
      <c r="K590" s="306"/>
      <c r="L590" s="306"/>
      <c r="M590" s="306"/>
      <c r="N590" s="306"/>
      <c r="O590" s="306"/>
      <c r="P590" s="229"/>
      <c r="Q590" s="229"/>
    </row>
    <row r="591" spans="2:17" hidden="1" outlineLevel="1">
      <c r="C591" s="9"/>
      <c r="D591" s="52">
        <v>9</v>
      </c>
      <c r="E591" s="293" t="s">
        <v>212</v>
      </c>
      <c r="F591" s="55" t="s">
        <v>287</v>
      </c>
      <c r="G591" s="306"/>
      <c r="H591" s="229"/>
      <c r="I591" s="307"/>
      <c r="J591" s="229"/>
      <c r="K591" s="229"/>
      <c r="L591" s="229"/>
      <c r="M591" s="229"/>
      <c r="N591" s="229"/>
      <c r="O591" s="229"/>
      <c r="P591" s="229"/>
      <c r="Q591" s="229"/>
    </row>
    <row r="592" spans="2:17" hidden="1" outlineLevel="1">
      <c r="C592" s="9"/>
      <c r="D592" s="7">
        <v>10</v>
      </c>
      <c r="E592" s="310" t="s">
        <v>213</v>
      </c>
      <c r="F592" s="22"/>
      <c r="G592" s="12" t="str">
        <f>IFERROR(+G588/G590,"")</f>
        <v/>
      </c>
      <c r="H592" s="13" t="str">
        <f>IFERROR(+H588/H590,"")</f>
        <v/>
      </c>
      <c r="I592" s="16" t="str">
        <f t="shared" ref="I592:Q592" si="150">IFERROR(+I588/I590,"")</f>
        <v/>
      </c>
      <c r="J592" s="13" t="str">
        <f t="shared" si="150"/>
        <v/>
      </c>
      <c r="K592" s="13" t="str">
        <f t="shared" si="150"/>
        <v/>
      </c>
      <c r="L592" s="13" t="str">
        <f t="shared" si="150"/>
        <v/>
      </c>
      <c r="M592" s="13" t="str">
        <f t="shared" si="150"/>
        <v/>
      </c>
      <c r="N592" s="13" t="str">
        <f t="shared" si="150"/>
        <v/>
      </c>
      <c r="O592" s="13" t="str">
        <f t="shared" si="150"/>
        <v/>
      </c>
      <c r="P592" s="13" t="str">
        <f t="shared" si="150"/>
        <v/>
      </c>
      <c r="Q592" s="13" t="str">
        <f t="shared" si="150"/>
        <v/>
      </c>
    </row>
    <row r="593" spans="2:17" hidden="1" outlineLevel="1">
      <c r="C593" s="9"/>
      <c r="D593" s="7">
        <v>11</v>
      </c>
      <c r="E593" s="310" t="s">
        <v>214</v>
      </c>
      <c r="F593" s="22" t="s">
        <v>215</v>
      </c>
      <c r="G593" s="14"/>
      <c r="H593" s="48" t="str">
        <f t="shared" ref="H593:Q593" si="151">IFERROR((H592-G592)/G592,"")</f>
        <v/>
      </c>
      <c r="I593" s="49" t="str">
        <f t="shared" si="151"/>
        <v/>
      </c>
      <c r="J593" s="48" t="str">
        <f t="shared" si="151"/>
        <v/>
      </c>
      <c r="K593" s="48" t="str">
        <f>IFERROR((K592-J592)/J592,"")</f>
        <v/>
      </c>
      <c r="L593" s="48" t="str">
        <f t="shared" si="151"/>
        <v/>
      </c>
      <c r="M593" s="48" t="str">
        <f t="shared" si="151"/>
        <v/>
      </c>
      <c r="N593" s="48" t="str">
        <f t="shared" si="151"/>
        <v/>
      </c>
      <c r="O593" s="48" t="str">
        <f t="shared" si="151"/>
        <v/>
      </c>
      <c r="P593" s="48" t="str">
        <f t="shared" si="151"/>
        <v/>
      </c>
      <c r="Q593" s="48" t="str">
        <f t="shared" si="151"/>
        <v/>
      </c>
    </row>
    <row r="594" spans="2:17" hidden="1" outlineLevel="1">
      <c r="C594" s="9"/>
      <c r="D594" s="7">
        <v>12</v>
      </c>
      <c r="E594" s="310" t="s">
        <v>216</v>
      </c>
      <c r="F594" s="21"/>
      <c r="G594" s="70" t="str">
        <f t="shared" ref="G594:Q594" si="152">IFERROR(+G589/G591,"")</f>
        <v/>
      </c>
      <c r="H594" s="71" t="str">
        <f t="shared" si="152"/>
        <v/>
      </c>
      <c r="I594" s="71" t="str">
        <f t="shared" si="152"/>
        <v/>
      </c>
      <c r="J594" s="71" t="str">
        <f t="shared" si="152"/>
        <v/>
      </c>
      <c r="K594" s="71" t="str">
        <f t="shared" si="152"/>
        <v/>
      </c>
      <c r="L594" s="71" t="str">
        <f t="shared" si="152"/>
        <v/>
      </c>
      <c r="M594" s="71" t="str">
        <f t="shared" si="152"/>
        <v/>
      </c>
      <c r="N594" s="71" t="str">
        <f t="shared" si="152"/>
        <v/>
      </c>
      <c r="O594" s="71" t="str">
        <f t="shared" si="152"/>
        <v/>
      </c>
      <c r="P594" s="71" t="str">
        <f t="shared" si="152"/>
        <v/>
      </c>
      <c r="Q594" s="71" t="str">
        <f t="shared" si="152"/>
        <v/>
      </c>
    </row>
    <row r="595" spans="2:17" hidden="1" outlineLevel="1">
      <c r="D595" s="7">
        <v>13</v>
      </c>
      <c r="E595" s="310" t="s">
        <v>217</v>
      </c>
      <c r="F595" s="21" t="s">
        <v>218</v>
      </c>
      <c r="G595" s="14"/>
      <c r="H595" s="48" t="str">
        <f t="shared" ref="H595:Q595" si="153">IFERROR((H594-G594)/G594,"")</f>
        <v/>
      </c>
      <c r="I595" s="49" t="str">
        <f t="shared" si="153"/>
        <v/>
      </c>
      <c r="J595" s="48" t="str">
        <f t="shared" si="153"/>
        <v/>
      </c>
      <c r="K595" s="48" t="str">
        <f t="shared" si="153"/>
        <v/>
      </c>
      <c r="L595" s="48" t="str">
        <f t="shared" si="153"/>
        <v/>
      </c>
      <c r="M595" s="48" t="str">
        <f t="shared" si="153"/>
        <v/>
      </c>
      <c r="N595" s="48" t="str">
        <f t="shared" si="153"/>
        <v/>
      </c>
      <c r="O595" s="48" t="str">
        <f t="shared" si="153"/>
        <v/>
      </c>
      <c r="P595" s="48" t="str">
        <f t="shared" si="153"/>
        <v/>
      </c>
      <c r="Q595" s="48" t="str">
        <f t="shared" si="153"/>
        <v/>
      </c>
    </row>
    <row r="596" spans="2:17" collapsed="1">
      <c r="E596" s="314"/>
    </row>
    <row r="597" spans="2:17" ht="18.5" thickBot="1">
      <c r="B597" s="69"/>
      <c r="C597" s="46" t="s">
        <v>315</v>
      </c>
      <c r="D597" s="4"/>
      <c r="E597" s="308"/>
      <c r="F597" s="240" t="str">
        <f>IF(G598="","","折りたたまれたセルのグループ（非表示行）を展開して、入力項目を入力してください。")</f>
        <v/>
      </c>
      <c r="L597" s="51"/>
    </row>
    <row r="598" spans="2:17" ht="50.15" customHeight="1" thickBot="1">
      <c r="D598" s="128">
        <v>1</v>
      </c>
      <c r="E598" s="311" t="s">
        <v>275</v>
      </c>
      <c r="F598" s="129"/>
      <c r="G598" s="130" t="str">
        <f>IF($M$104="","",$M$104)</f>
        <v/>
      </c>
    </row>
    <row r="599" spans="2:17" hidden="1" outlineLevel="1">
      <c r="D599" s="52">
        <v>2</v>
      </c>
      <c r="E599" s="312" t="s">
        <v>292</v>
      </c>
      <c r="F599" s="57" t="s">
        <v>241</v>
      </c>
      <c r="G599" s="144"/>
    </row>
    <row r="600" spans="2:17" ht="33" hidden="1" outlineLevel="1">
      <c r="D600" s="52">
        <v>3</v>
      </c>
      <c r="E600" s="312" t="s">
        <v>277</v>
      </c>
      <c r="F600" s="30" t="s">
        <v>241</v>
      </c>
      <c r="G600" s="141"/>
      <c r="K600" s="375" t="s">
        <v>278</v>
      </c>
      <c r="L600" s="375"/>
      <c r="M600" s="375"/>
      <c r="N600" s="375"/>
      <c r="O600" s="196"/>
      <c r="P600" s="195" t="s">
        <v>279</v>
      </c>
      <c r="Q600" s="50" t="s">
        <v>280</v>
      </c>
    </row>
    <row r="601" spans="2:17" hidden="1" outlineLevel="1">
      <c r="D601" s="52">
        <v>4</v>
      </c>
      <c r="E601" s="293" t="s">
        <v>281</v>
      </c>
      <c r="F601" s="19" t="s">
        <v>241</v>
      </c>
      <c r="G601" s="141"/>
      <c r="H601" s="6"/>
      <c r="K601" s="375"/>
      <c r="L601" s="375"/>
      <c r="M601" s="375"/>
      <c r="N601" s="375"/>
      <c r="O601" s="125" t="s">
        <v>282</v>
      </c>
      <c r="P601" s="131" t="str">
        <f>IF(AND(COUNTA($G608:$Q608)&gt;0,SUMIF($G608:$Q608,"&lt;&gt;"&amp;"")=0),"－",IFERROR(((HLOOKUP(EDATE($F$13,36),$G605:$Q613,6,FALSE))/(HLOOKUP(EDATE($F$13,0),$G605:$Q613,6,FALSE)))^(1/3)-1,""))</f>
        <v/>
      </c>
      <c r="Q601" s="376">
        <v>4.4999999999999998E-2</v>
      </c>
    </row>
    <row r="602" spans="2:17" ht="36" hidden="1" outlineLevel="1">
      <c r="D602" s="52">
        <v>5</v>
      </c>
      <c r="E602" s="293" t="s">
        <v>283</v>
      </c>
      <c r="F602" s="19" t="s">
        <v>256</v>
      </c>
      <c r="G602" s="315"/>
      <c r="H602" s="6"/>
      <c r="K602" s="375"/>
      <c r="L602" s="375"/>
      <c r="M602" s="375"/>
      <c r="N602" s="375"/>
      <c r="O602" s="125" t="s">
        <v>284</v>
      </c>
      <c r="P602" s="125" t="str">
        <f>IF(AND(COUNTA($G609:$Q609)&gt;0,SUMIF($G609:$Q609,"&lt;&gt;"&amp;"")=0),"－",IFERROR(((HLOOKUP(EDATE($F$13,36),$G605:$Q613,8,FALSE))/(HLOOKUP(EDATE($F$13,0),$G605:$Q613,8,FALSE)))^(1/3)-1,""))</f>
        <v/>
      </c>
      <c r="Q602" s="377"/>
    </row>
    <row r="603" spans="2:17" hidden="1" outlineLevel="1">
      <c r="D603" s="35"/>
      <c r="E603" s="316" t="s">
        <v>257</v>
      </c>
      <c r="F603" s="34"/>
      <c r="G603" s="1" t="s">
        <v>179</v>
      </c>
    </row>
    <row r="604" spans="2:17" hidden="1" outlineLevel="1">
      <c r="E604" s="308"/>
      <c r="G604" s="64" t="s">
        <v>181</v>
      </c>
      <c r="H604" s="64" t="s">
        <v>182</v>
      </c>
      <c r="I604" s="64" t="s">
        <v>183</v>
      </c>
      <c r="J604" s="132" t="s">
        <v>184</v>
      </c>
      <c r="K604" s="132"/>
      <c r="L604" s="132"/>
      <c r="M604" s="132"/>
      <c r="N604" s="132"/>
      <c r="O604" s="132"/>
      <c r="P604" s="132"/>
      <c r="Q604" s="132"/>
    </row>
    <row r="605" spans="2:17" hidden="1" outlineLevel="1">
      <c r="D605" s="11"/>
      <c r="E605" s="206"/>
      <c r="F605" s="56"/>
      <c r="G605" s="63" t="str">
        <f>IF($I605="","",EDATE(H605,-12))</f>
        <v/>
      </c>
      <c r="H605" s="63" t="str">
        <f>IF($I605="","",EDATE(I605,-12))</f>
        <v/>
      </c>
      <c r="I605" s="63" t="str">
        <f>IF($I$12="","",$I$12)</f>
        <v/>
      </c>
      <c r="J605" s="63" t="str">
        <f t="shared" ref="J605:Q605" si="154">IF($I605="","",EDATE(I605,12))</f>
        <v/>
      </c>
      <c r="K605" s="63" t="str">
        <f t="shared" si="154"/>
        <v/>
      </c>
      <c r="L605" s="63" t="str">
        <f t="shared" si="154"/>
        <v/>
      </c>
      <c r="M605" s="63" t="str">
        <f t="shared" si="154"/>
        <v/>
      </c>
      <c r="N605" s="63" t="str">
        <f t="shared" si="154"/>
        <v/>
      </c>
      <c r="O605" s="63" t="str">
        <f t="shared" si="154"/>
        <v/>
      </c>
      <c r="P605" s="63" t="str">
        <f t="shared" si="154"/>
        <v/>
      </c>
      <c r="Q605" s="63" t="str">
        <f t="shared" si="154"/>
        <v/>
      </c>
    </row>
    <row r="606" spans="2:17" hidden="1" outlineLevel="1">
      <c r="D606" s="52">
        <v>6</v>
      </c>
      <c r="E606" s="293" t="s">
        <v>206</v>
      </c>
      <c r="F606" s="55"/>
      <c r="G606" s="138"/>
      <c r="H606" s="138"/>
      <c r="I606" s="138"/>
      <c r="J606" s="138"/>
      <c r="K606" s="138"/>
      <c r="L606" s="138"/>
      <c r="M606" s="138"/>
      <c r="N606" s="138"/>
      <c r="O606" s="138"/>
      <c r="P606" s="106"/>
      <c r="Q606" s="106"/>
    </row>
    <row r="607" spans="2:17" hidden="1" outlineLevel="1">
      <c r="C607" s="9"/>
      <c r="D607" s="52">
        <v>7</v>
      </c>
      <c r="E607" s="293" t="s">
        <v>207</v>
      </c>
      <c r="F607" s="55"/>
      <c r="G607" s="138"/>
      <c r="H607" s="106"/>
      <c r="I607" s="139"/>
      <c r="J607" s="106"/>
      <c r="K607" s="106"/>
      <c r="L607" s="154"/>
      <c r="M607" s="106"/>
      <c r="N607" s="106"/>
      <c r="O607" s="106"/>
      <c r="P607" s="106"/>
      <c r="Q607" s="106"/>
    </row>
    <row r="608" spans="2:17" hidden="1" outlineLevel="1">
      <c r="C608" s="9"/>
      <c r="D608" s="5">
        <v>8</v>
      </c>
      <c r="E608" s="303" t="s">
        <v>210</v>
      </c>
      <c r="F608" s="20" t="s">
        <v>211</v>
      </c>
      <c r="G608" s="306"/>
      <c r="H608" s="306"/>
      <c r="I608" s="306"/>
      <c r="J608" s="306"/>
      <c r="K608" s="306"/>
      <c r="L608" s="306"/>
      <c r="M608" s="306"/>
      <c r="N608" s="306"/>
      <c r="O608" s="306"/>
      <c r="P608" s="229"/>
      <c r="Q608" s="229"/>
    </row>
    <row r="609" spans="2:17" hidden="1" outlineLevel="1">
      <c r="C609" s="9"/>
      <c r="D609" s="52">
        <v>9</v>
      </c>
      <c r="E609" s="293" t="s">
        <v>212</v>
      </c>
      <c r="F609" s="55" t="s">
        <v>287</v>
      </c>
      <c r="G609" s="306"/>
      <c r="H609" s="229"/>
      <c r="I609" s="307"/>
      <c r="J609" s="229"/>
      <c r="K609" s="229"/>
      <c r="L609" s="229"/>
      <c r="M609" s="229"/>
      <c r="N609" s="229"/>
      <c r="O609" s="229"/>
      <c r="P609" s="229"/>
      <c r="Q609" s="229"/>
    </row>
    <row r="610" spans="2:17" hidden="1" outlineLevel="1">
      <c r="C610" s="9"/>
      <c r="D610" s="7">
        <v>10</v>
      </c>
      <c r="E610" s="310" t="s">
        <v>213</v>
      </c>
      <c r="F610" s="22"/>
      <c r="G610" s="12" t="str">
        <f>IFERROR(+G606/G608,"")</f>
        <v/>
      </c>
      <c r="H610" s="13" t="str">
        <f>IFERROR(+H606/H608,"")</f>
        <v/>
      </c>
      <c r="I610" s="16" t="str">
        <f t="shared" ref="I610:Q610" si="155">IFERROR(+I606/I608,"")</f>
        <v/>
      </c>
      <c r="J610" s="13" t="str">
        <f t="shared" si="155"/>
        <v/>
      </c>
      <c r="K610" s="13" t="str">
        <f t="shared" si="155"/>
        <v/>
      </c>
      <c r="L610" s="13" t="str">
        <f t="shared" si="155"/>
        <v/>
      </c>
      <c r="M610" s="13" t="str">
        <f t="shared" si="155"/>
        <v/>
      </c>
      <c r="N610" s="13" t="str">
        <f t="shared" si="155"/>
        <v/>
      </c>
      <c r="O610" s="13" t="str">
        <f t="shared" si="155"/>
        <v/>
      </c>
      <c r="P610" s="13" t="str">
        <f t="shared" si="155"/>
        <v/>
      </c>
      <c r="Q610" s="13" t="str">
        <f t="shared" si="155"/>
        <v/>
      </c>
    </row>
    <row r="611" spans="2:17" hidden="1" outlineLevel="1">
      <c r="C611" s="9"/>
      <c r="D611" s="7">
        <v>11</v>
      </c>
      <c r="E611" s="310" t="s">
        <v>214</v>
      </c>
      <c r="F611" s="22" t="s">
        <v>215</v>
      </c>
      <c r="G611" s="14"/>
      <c r="H611" s="48" t="str">
        <f t="shared" ref="H611:Q611" si="156">IFERROR((H610-G610)/G610,"")</f>
        <v/>
      </c>
      <c r="I611" s="49" t="str">
        <f t="shared" si="156"/>
        <v/>
      </c>
      <c r="J611" s="48" t="str">
        <f t="shared" si="156"/>
        <v/>
      </c>
      <c r="K611" s="48" t="str">
        <f>IFERROR((K610-J610)/J610,"")</f>
        <v/>
      </c>
      <c r="L611" s="48" t="str">
        <f t="shared" si="156"/>
        <v/>
      </c>
      <c r="M611" s="48" t="str">
        <f t="shared" si="156"/>
        <v/>
      </c>
      <c r="N611" s="48" t="str">
        <f t="shared" si="156"/>
        <v/>
      </c>
      <c r="O611" s="48" t="str">
        <f t="shared" si="156"/>
        <v/>
      </c>
      <c r="P611" s="48" t="str">
        <f t="shared" si="156"/>
        <v/>
      </c>
      <c r="Q611" s="48" t="str">
        <f t="shared" si="156"/>
        <v/>
      </c>
    </row>
    <row r="612" spans="2:17" hidden="1" outlineLevel="1">
      <c r="C612" s="9"/>
      <c r="D612" s="7">
        <v>12</v>
      </c>
      <c r="E612" s="310" t="s">
        <v>216</v>
      </c>
      <c r="F612" s="21"/>
      <c r="G612" s="70" t="str">
        <f t="shared" ref="G612:Q612" si="157">IFERROR(+G607/G609,"")</f>
        <v/>
      </c>
      <c r="H612" s="71" t="str">
        <f t="shared" si="157"/>
        <v/>
      </c>
      <c r="I612" s="71" t="str">
        <f t="shared" si="157"/>
        <v/>
      </c>
      <c r="J612" s="71" t="str">
        <f t="shared" si="157"/>
        <v/>
      </c>
      <c r="K612" s="71" t="str">
        <f t="shared" si="157"/>
        <v/>
      </c>
      <c r="L612" s="71" t="str">
        <f t="shared" si="157"/>
        <v/>
      </c>
      <c r="M612" s="71" t="str">
        <f t="shared" si="157"/>
        <v/>
      </c>
      <c r="N612" s="71" t="str">
        <f t="shared" si="157"/>
        <v/>
      </c>
      <c r="O612" s="71" t="str">
        <f t="shared" si="157"/>
        <v/>
      </c>
      <c r="P612" s="71" t="str">
        <f t="shared" si="157"/>
        <v/>
      </c>
      <c r="Q612" s="71" t="str">
        <f t="shared" si="157"/>
        <v/>
      </c>
    </row>
    <row r="613" spans="2:17" hidden="1" outlineLevel="1">
      <c r="D613" s="7">
        <v>13</v>
      </c>
      <c r="E613" s="310" t="s">
        <v>217</v>
      </c>
      <c r="F613" s="21" t="s">
        <v>218</v>
      </c>
      <c r="G613" s="14"/>
      <c r="H613" s="48" t="str">
        <f t="shared" ref="H613:Q613" si="158">IFERROR((H612-G612)/G612,"")</f>
        <v/>
      </c>
      <c r="I613" s="49" t="str">
        <f t="shared" si="158"/>
        <v/>
      </c>
      <c r="J613" s="48" t="str">
        <f t="shared" si="158"/>
        <v/>
      </c>
      <c r="K613" s="48" t="str">
        <f t="shared" si="158"/>
        <v/>
      </c>
      <c r="L613" s="48" t="str">
        <f t="shared" si="158"/>
        <v/>
      </c>
      <c r="M613" s="48" t="str">
        <f t="shared" si="158"/>
        <v/>
      </c>
      <c r="N613" s="48" t="str">
        <f t="shared" si="158"/>
        <v/>
      </c>
      <c r="O613" s="48" t="str">
        <f t="shared" si="158"/>
        <v/>
      </c>
      <c r="P613" s="48" t="str">
        <f t="shared" si="158"/>
        <v/>
      </c>
      <c r="Q613" s="48" t="str">
        <f t="shared" si="158"/>
        <v/>
      </c>
    </row>
    <row r="614" spans="2:17" collapsed="1">
      <c r="E614" s="314"/>
    </row>
    <row r="615" spans="2:17" ht="18.5" thickBot="1">
      <c r="B615" s="69"/>
      <c r="C615" s="46" t="s">
        <v>316</v>
      </c>
      <c r="D615" s="4"/>
      <c r="E615" s="308"/>
      <c r="F615" s="240" t="str">
        <f>IF(G616="","","折りたたまれたセルのグループ（非表示行）を展開して、入力項目を入力してください。")</f>
        <v/>
      </c>
      <c r="L615" s="51"/>
    </row>
    <row r="616" spans="2:17" ht="50.15" customHeight="1" thickBot="1">
      <c r="D616" s="128">
        <v>1</v>
      </c>
      <c r="E616" s="311" t="s">
        <v>275</v>
      </c>
      <c r="F616" s="129"/>
      <c r="G616" s="130" t="str">
        <f>IF($N$104="","",$N$104)</f>
        <v/>
      </c>
    </row>
    <row r="617" spans="2:17" hidden="1" outlineLevel="1">
      <c r="D617" s="52">
        <v>2</v>
      </c>
      <c r="E617" s="312" t="s">
        <v>292</v>
      </c>
      <c r="F617" s="57" t="s">
        <v>241</v>
      </c>
      <c r="G617" s="144"/>
    </row>
    <row r="618" spans="2:17" ht="33" hidden="1" outlineLevel="1">
      <c r="D618" s="52">
        <v>3</v>
      </c>
      <c r="E618" s="312" t="s">
        <v>277</v>
      </c>
      <c r="F618" s="30" t="s">
        <v>241</v>
      </c>
      <c r="G618" s="141"/>
      <c r="K618" s="375" t="s">
        <v>278</v>
      </c>
      <c r="L618" s="375"/>
      <c r="M618" s="375"/>
      <c r="N618" s="375"/>
      <c r="O618" s="196"/>
      <c r="P618" s="195" t="s">
        <v>279</v>
      </c>
      <c r="Q618" s="50" t="s">
        <v>280</v>
      </c>
    </row>
    <row r="619" spans="2:17" hidden="1" outlineLevel="1">
      <c r="D619" s="52">
        <v>4</v>
      </c>
      <c r="E619" s="293" t="s">
        <v>281</v>
      </c>
      <c r="F619" s="19" t="s">
        <v>241</v>
      </c>
      <c r="G619" s="141"/>
      <c r="H619" s="6"/>
      <c r="K619" s="375"/>
      <c r="L619" s="375"/>
      <c r="M619" s="375"/>
      <c r="N619" s="375"/>
      <c r="O619" s="125" t="s">
        <v>282</v>
      </c>
      <c r="P619" s="131" t="str">
        <f>IF(AND(COUNTA($G626:$Q626)&gt;0,SUMIF($G626:$Q626,"&lt;&gt;"&amp;"")=0),"－",IFERROR(((HLOOKUP(EDATE($F$13,36),$G623:$Q631,6,FALSE))/(HLOOKUP(EDATE($F$13,0),$G623:$Q631,6,FALSE)))^(1/3)-1,""))</f>
        <v/>
      </c>
      <c r="Q619" s="376">
        <v>4.4999999999999998E-2</v>
      </c>
    </row>
    <row r="620" spans="2:17" ht="36" hidden="1" outlineLevel="1">
      <c r="D620" s="52">
        <v>5</v>
      </c>
      <c r="E620" s="293" t="s">
        <v>283</v>
      </c>
      <c r="F620" s="19" t="s">
        <v>256</v>
      </c>
      <c r="G620" s="315"/>
      <c r="H620" s="6"/>
      <c r="K620" s="375"/>
      <c r="L620" s="375"/>
      <c r="M620" s="375"/>
      <c r="N620" s="375"/>
      <c r="O620" s="125" t="s">
        <v>284</v>
      </c>
      <c r="P620" s="125" t="str">
        <f>IF(AND(COUNTA($G627:$Q627)&gt;0,SUMIF($G627:$Q627,"&lt;&gt;"&amp;"")=0),"－",IFERROR(((HLOOKUP(EDATE($F$13,36),$G623:$Q631,8,FALSE))/(HLOOKUP(EDATE($F$13,0),$G623:$Q631,8,FALSE)))^(1/3)-1,""))</f>
        <v/>
      </c>
      <c r="Q620" s="377"/>
    </row>
    <row r="621" spans="2:17" hidden="1" outlineLevel="1">
      <c r="D621" s="35"/>
      <c r="E621" s="316" t="s">
        <v>257</v>
      </c>
      <c r="F621" s="34"/>
      <c r="G621" s="1" t="s">
        <v>179</v>
      </c>
    </row>
    <row r="622" spans="2:17" hidden="1" outlineLevel="1">
      <c r="E622" s="308"/>
      <c r="G622" s="64" t="s">
        <v>181</v>
      </c>
      <c r="H622" s="64" t="s">
        <v>182</v>
      </c>
      <c r="I622" s="64" t="s">
        <v>183</v>
      </c>
      <c r="J622" s="132" t="s">
        <v>184</v>
      </c>
      <c r="K622" s="132"/>
      <c r="L622" s="132"/>
      <c r="M622" s="132"/>
      <c r="N622" s="132"/>
      <c r="O622" s="132"/>
      <c r="P622" s="132"/>
      <c r="Q622" s="132"/>
    </row>
    <row r="623" spans="2:17" hidden="1" outlineLevel="1">
      <c r="D623" s="11"/>
      <c r="E623" s="206"/>
      <c r="F623" s="56"/>
      <c r="G623" s="63" t="str">
        <f>IF($I623="","",EDATE(H623,-12))</f>
        <v/>
      </c>
      <c r="H623" s="63" t="str">
        <f>IF($I623="","",EDATE(I623,-12))</f>
        <v/>
      </c>
      <c r="I623" s="63" t="str">
        <f>IF($I$12="","",$I$12)</f>
        <v/>
      </c>
      <c r="J623" s="63" t="str">
        <f t="shared" ref="J623:Q623" si="159">IF($I623="","",EDATE(I623,12))</f>
        <v/>
      </c>
      <c r="K623" s="63" t="str">
        <f t="shared" si="159"/>
        <v/>
      </c>
      <c r="L623" s="63" t="str">
        <f t="shared" si="159"/>
        <v/>
      </c>
      <c r="M623" s="63" t="str">
        <f t="shared" si="159"/>
        <v/>
      </c>
      <c r="N623" s="63" t="str">
        <f t="shared" si="159"/>
        <v/>
      </c>
      <c r="O623" s="63" t="str">
        <f t="shared" si="159"/>
        <v/>
      </c>
      <c r="P623" s="63" t="str">
        <f t="shared" si="159"/>
        <v/>
      </c>
      <c r="Q623" s="63" t="str">
        <f t="shared" si="159"/>
        <v/>
      </c>
    </row>
    <row r="624" spans="2:17" hidden="1" outlineLevel="1">
      <c r="D624" s="52">
        <v>6</v>
      </c>
      <c r="E624" s="293" t="s">
        <v>206</v>
      </c>
      <c r="F624" s="55"/>
      <c r="G624" s="138"/>
      <c r="H624" s="138"/>
      <c r="I624" s="138"/>
      <c r="J624" s="138"/>
      <c r="K624" s="138"/>
      <c r="L624" s="138"/>
      <c r="M624" s="138"/>
      <c r="N624" s="138"/>
      <c r="O624" s="138"/>
      <c r="P624" s="106"/>
      <c r="Q624" s="106"/>
    </row>
    <row r="625" spans="2:17" hidden="1" outlineLevel="1">
      <c r="C625" s="9"/>
      <c r="D625" s="52">
        <v>7</v>
      </c>
      <c r="E625" s="293" t="s">
        <v>207</v>
      </c>
      <c r="F625" s="55"/>
      <c r="G625" s="138"/>
      <c r="H625" s="106"/>
      <c r="I625" s="139"/>
      <c r="J625" s="106"/>
      <c r="K625" s="106"/>
      <c r="L625" s="154"/>
      <c r="M625" s="106"/>
      <c r="N625" s="106"/>
      <c r="O625" s="106"/>
      <c r="P625" s="106"/>
      <c r="Q625" s="106"/>
    </row>
    <row r="626" spans="2:17" hidden="1" outlineLevel="1">
      <c r="C626" s="9"/>
      <c r="D626" s="5">
        <v>8</v>
      </c>
      <c r="E626" s="303" t="s">
        <v>210</v>
      </c>
      <c r="F626" s="20" t="s">
        <v>211</v>
      </c>
      <c r="G626" s="306"/>
      <c r="H626" s="306"/>
      <c r="I626" s="306"/>
      <c r="J626" s="306"/>
      <c r="K626" s="306"/>
      <c r="L626" s="306"/>
      <c r="M626" s="306"/>
      <c r="N626" s="306"/>
      <c r="O626" s="306"/>
      <c r="P626" s="229"/>
      <c r="Q626" s="229"/>
    </row>
    <row r="627" spans="2:17" hidden="1" outlineLevel="1">
      <c r="C627" s="9"/>
      <c r="D627" s="52">
        <v>9</v>
      </c>
      <c r="E627" s="293" t="s">
        <v>212</v>
      </c>
      <c r="F627" s="55" t="s">
        <v>287</v>
      </c>
      <c r="G627" s="306"/>
      <c r="H627" s="229"/>
      <c r="I627" s="307"/>
      <c r="J627" s="229"/>
      <c r="K627" s="229"/>
      <c r="L627" s="229"/>
      <c r="M627" s="229"/>
      <c r="N627" s="229"/>
      <c r="O627" s="229"/>
      <c r="P627" s="229"/>
      <c r="Q627" s="229"/>
    </row>
    <row r="628" spans="2:17" hidden="1" outlineLevel="1">
      <c r="C628" s="9"/>
      <c r="D628" s="7">
        <v>10</v>
      </c>
      <c r="E628" s="310" t="s">
        <v>213</v>
      </c>
      <c r="F628" s="22"/>
      <c r="G628" s="12" t="str">
        <f>IFERROR(+G624/G626,"")</f>
        <v/>
      </c>
      <c r="H628" s="13" t="str">
        <f>IFERROR(+H624/H626,"")</f>
        <v/>
      </c>
      <c r="I628" s="16" t="str">
        <f t="shared" ref="I628:Q628" si="160">IFERROR(+I624/I626,"")</f>
        <v/>
      </c>
      <c r="J628" s="13" t="str">
        <f t="shared" si="160"/>
        <v/>
      </c>
      <c r="K628" s="13" t="str">
        <f t="shared" si="160"/>
        <v/>
      </c>
      <c r="L628" s="13" t="str">
        <f t="shared" si="160"/>
        <v/>
      </c>
      <c r="M628" s="13" t="str">
        <f t="shared" si="160"/>
        <v/>
      </c>
      <c r="N628" s="13" t="str">
        <f t="shared" si="160"/>
        <v/>
      </c>
      <c r="O628" s="13" t="str">
        <f t="shared" si="160"/>
        <v/>
      </c>
      <c r="P628" s="13" t="str">
        <f t="shared" si="160"/>
        <v/>
      </c>
      <c r="Q628" s="13" t="str">
        <f t="shared" si="160"/>
        <v/>
      </c>
    </row>
    <row r="629" spans="2:17" hidden="1" outlineLevel="1">
      <c r="C629" s="9"/>
      <c r="D629" s="7">
        <v>11</v>
      </c>
      <c r="E629" s="310" t="s">
        <v>214</v>
      </c>
      <c r="F629" s="22" t="s">
        <v>215</v>
      </c>
      <c r="G629" s="14"/>
      <c r="H629" s="48" t="str">
        <f t="shared" ref="H629:Q629" si="161">IFERROR((H628-G628)/G628,"")</f>
        <v/>
      </c>
      <c r="I629" s="49" t="str">
        <f t="shared" si="161"/>
        <v/>
      </c>
      <c r="J629" s="48" t="str">
        <f t="shared" si="161"/>
        <v/>
      </c>
      <c r="K629" s="48" t="str">
        <f>IFERROR((K628-J628)/J628,"")</f>
        <v/>
      </c>
      <c r="L629" s="48" t="str">
        <f t="shared" si="161"/>
        <v/>
      </c>
      <c r="M629" s="48" t="str">
        <f t="shared" si="161"/>
        <v/>
      </c>
      <c r="N629" s="48" t="str">
        <f t="shared" si="161"/>
        <v/>
      </c>
      <c r="O629" s="48" t="str">
        <f t="shared" si="161"/>
        <v/>
      </c>
      <c r="P629" s="48" t="str">
        <f t="shared" si="161"/>
        <v/>
      </c>
      <c r="Q629" s="48" t="str">
        <f t="shared" si="161"/>
        <v/>
      </c>
    </row>
    <row r="630" spans="2:17" hidden="1" outlineLevel="1">
      <c r="C630" s="9"/>
      <c r="D630" s="7">
        <v>12</v>
      </c>
      <c r="E630" s="310" t="s">
        <v>216</v>
      </c>
      <c r="F630" s="21"/>
      <c r="G630" s="70" t="str">
        <f t="shared" ref="G630:Q630" si="162">IFERROR(+G625/G627,"")</f>
        <v/>
      </c>
      <c r="H630" s="71" t="str">
        <f t="shared" si="162"/>
        <v/>
      </c>
      <c r="I630" s="71" t="str">
        <f t="shared" si="162"/>
        <v/>
      </c>
      <c r="J630" s="71" t="str">
        <f t="shared" si="162"/>
        <v/>
      </c>
      <c r="K630" s="71" t="str">
        <f t="shared" si="162"/>
        <v/>
      </c>
      <c r="L630" s="71" t="str">
        <f t="shared" si="162"/>
        <v/>
      </c>
      <c r="M630" s="71" t="str">
        <f t="shared" si="162"/>
        <v/>
      </c>
      <c r="N630" s="71" t="str">
        <f t="shared" si="162"/>
        <v/>
      </c>
      <c r="O630" s="71" t="str">
        <f t="shared" si="162"/>
        <v/>
      </c>
      <c r="P630" s="71" t="str">
        <f t="shared" si="162"/>
        <v/>
      </c>
      <c r="Q630" s="71" t="str">
        <f t="shared" si="162"/>
        <v/>
      </c>
    </row>
    <row r="631" spans="2:17" hidden="1" outlineLevel="1">
      <c r="D631" s="7">
        <v>13</v>
      </c>
      <c r="E631" s="310" t="s">
        <v>217</v>
      </c>
      <c r="F631" s="21" t="s">
        <v>218</v>
      </c>
      <c r="G631" s="14"/>
      <c r="H631" s="48" t="str">
        <f t="shared" ref="H631:Q631" si="163">IFERROR((H630-G630)/G630,"")</f>
        <v/>
      </c>
      <c r="I631" s="49" t="str">
        <f t="shared" si="163"/>
        <v/>
      </c>
      <c r="J631" s="48" t="str">
        <f t="shared" si="163"/>
        <v/>
      </c>
      <c r="K631" s="48" t="str">
        <f t="shared" si="163"/>
        <v/>
      </c>
      <c r="L631" s="48" t="str">
        <f t="shared" si="163"/>
        <v/>
      </c>
      <c r="M631" s="48" t="str">
        <f t="shared" si="163"/>
        <v/>
      </c>
      <c r="N631" s="48" t="str">
        <f t="shared" si="163"/>
        <v/>
      </c>
      <c r="O631" s="48" t="str">
        <f t="shared" si="163"/>
        <v/>
      </c>
      <c r="P631" s="48" t="str">
        <f t="shared" si="163"/>
        <v/>
      </c>
      <c r="Q631" s="48" t="str">
        <f t="shared" si="163"/>
        <v/>
      </c>
    </row>
    <row r="632" spans="2:17" collapsed="1">
      <c r="E632" s="314"/>
    </row>
    <row r="633" spans="2:17" ht="18.5" thickBot="1">
      <c r="B633" s="69"/>
      <c r="C633" s="46" t="s">
        <v>317</v>
      </c>
      <c r="D633" s="4"/>
      <c r="E633" s="308"/>
      <c r="F633" s="240" t="str">
        <f>IF(G634="","","折りたたまれたセルのグループ（非表示行）を展開して、入力項目を入力してください。")</f>
        <v/>
      </c>
      <c r="L633" s="51"/>
    </row>
    <row r="634" spans="2:17" ht="50.15" customHeight="1" thickBot="1">
      <c r="D634" s="128">
        <v>1</v>
      </c>
      <c r="E634" s="311" t="s">
        <v>275</v>
      </c>
      <c r="F634" s="129"/>
      <c r="G634" s="130" t="str">
        <f>IF($O$104="","",$O$104)</f>
        <v/>
      </c>
    </row>
    <row r="635" spans="2:17" hidden="1" outlineLevel="1">
      <c r="D635" s="52">
        <v>2</v>
      </c>
      <c r="E635" s="312" t="s">
        <v>292</v>
      </c>
      <c r="F635" s="57" t="s">
        <v>241</v>
      </c>
      <c r="G635" s="144"/>
    </row>
    <row r="636" spans="2:17" ht="33" hidden="1" outlineLevel="1">
      <c r="D636" s="52">
        <v>3</v>
      </c>
      <c r="E636" s="312" t="s">
        <v>277</v>
      </c>
      <c r="F636" s="30" t="s">
        <v>241</v>
      </c>
      <c r="G636" s="141"/>
      <c r="K636" s="375" t="s">
        <v>278</v>
      </c>
      <c r="L636" s="375"/>
      <c r="M636" s="375"/>
      <c r="N636" s="375"/>
      <c r="O636" s="196"/>
      <c r="P636" s="195" t="s">
        <v>279</v>
      </c>
      <c r="Q636" s="50" t="s">
        <v>280</v>
      </c>
    </row>
    <row r="637" spans="2:17" hidden="1" outlineLevel="1">
      <c r="D637" s="52">
        <v>4</v>
      </c>
      <c r="E637" s="293" t="s">
        <v>281</v>
      </c>
      <c r="F637" s="19" t="s">
        <v>241</v>
      </c>
      <c r="G637" s="141"/>
      <c r="H637" s="6"/>
      <c r="K637" s="375"/>
      <c r="L637" s="375"/>
      <c r="M637" s="375"/>
      <c r="N637" s="375"/>
      <c r="O637" s="125" t="s">
        <v>282</v>
      </c>
      <c r="P637" s="131" t="str">
        <f>IF(AND(COUNTA($G644:$Q644)&gt;0,SUMIF($G644:$Q644,"&lt;&gt;"&amp;"")=0),"－",IFERROR(((HLOOKUP(EDATE($F$13,36),$G641:$Q649,6,FALSE))/(HLOOKUP(EDATE($F$13,0),$G641:$Q649,6,FALSE)))^(1/3)-1,""))</f>
        <v/>
      </c>
      <c r="Q637" s="376">
        <v>4.4999999999999998E-2</v>
      </c>
    </row>
    <row r="638" spans="2:17" ht="36" hidden="1" outlineLevel="1">
      <c r="D638" s="52">
        <v>5</v>
      </c>
      <c r="E638" s="293" t="s">
        <v>283</v>
      </c>
      <c r="F638" s="19" t="s">
        <v>256</v>
      </c>
      <c r="G638" s="315"/>
      <c r="H638" s="6"/>
      <c r="K638" s="375"/>
      <c r="L638" s="375"/>
      <c r="M638" s="375"/>
      <c r="N638" s="375"/>
      <c r="O638" s="125" t="s">
        <v>284</v>
      </c>
      <c r="P638" s="125" t="str">
        <f>IF(AND(COUNTA($G645:$Q645)&gt;0,SUMIF($G645:$Q645,"&lt;&gt;"&amp;"")=0),"－",IFERROR(((HLOOKUP(EDATE($F$13,36),$G641:$Q649,8,FALSE))/(HLOOKUP(EDATE($F$13,0),$G641:$Q649,8,FALSE)))^(1/3)-1,""))</f>
        <v/>
      </c>
      <c r="Q638" s="377"/>
    </row>
    <row r="639" spans="2:17" hidden="1" outlineLevel="1">
      <c r="D639" s="35"/>
      <c r="E639" s="316" t="s">
        <v>257</v>
      </c>
      <c r="F639" s="34"/>
      <c r="G639" s="1" t="s">
        <v>179</v>
      </c>
    </row>
    <row r="640" spans="2:17" hidden="1" outlineLevel="1">
      <c r="E640" s="308"/>
      <c r="G640" s="64" t="s">
        <v>181</v>
      </c>
      <c r="H640" s="64" t="s">
        <v>182</v>
      </c>
      <c r="I640" s="64" t="s">
        <v>183</v>
      </c>
      <c r="J640" s="132" t="s">
        <v>184</v>
      </c>
      <c r="K640" s="132"/>
      <c r="L640" s="132"/>
      <c r="M640" s="132"/>
      <c r="N640" s="132"/>
      <c r="O640" s="132"/>
      <c r="P640" s="132"/>
      <c r="Q640" s="132"/>
    </row>
    <row r="641" spans="2:17" hidden="1" outlineLevel="1">
      <c r="D641" s="11"/>
      <c r="E641" s="206"/>
      <c r="F641" s="56"/>
      <c r="G641" s="63" t="str">
        <f>IF($I641="","",EDATE(H641,-12))</f>
        <v/>
      </c>
      <c r="H641" s="63" t="str">
        <f>IF($I641="","",EDATE(I641,-12))</f>
        <v/>
      </c>
      <c r="I641" s="63" t="str">
        <f>IF($I$12="","",$I$12)</f>
        <v/>
      </c>
      <c r="J641" s="63" t="str">
        <f t="shared" ref="J641:Q641" si="164">IF($I641="","",EDATE(I641,12))</f>
        <v/>
      </c>
      <c r="K641" s="63" t="str">
        <f t="shared" si="164"/>
        <v/>
      </c>
      <c r="L641" s="63" t="str">
        <f t="shared" si="164"/>
        <v/>
      </c>
      <c r="M641" s="63" t="str">
        <f t="shared" si="164"/>
        <v/>
      </c>
      <c r="N641" s="63" t="str">
        <f t="shared" si="164"/>
        <v/>
      </c>
      <c r="O641" s="63" t="str">
        <f t="shared" si="164"/>
        <v/>
      </c>
      <c r="P641" s="63" t="str">
        <f t="shared" si="164"/>
        <v/>
      </c>
      <c r="Q641" s="63" t="str">
        <f t="shared" si="164"/>
        <v/>
      </c>
    </row>
    <row r="642" spans="2:17" hidden="1" outlineLevel="1">
      <c r="D642" s="52">
        <v>6</v>
      </c>
      <c r="E642" s="293" t="s">
        <v>206</v>
      </c>
      <c r="F642" s="55"/>
      <c r="G642" s="138"/>
      <c r="H642" s="138"/>
      <c r="I642" s="138"/>
      <c r="J642" s="138"/>
      <c r="K642" s="138"/>
      <c r="L642" s="138"/>
      <c r="M642" s="138"/>
      <c r="N642" s="138"/>
      <c r="O642" s="138"/>
      <c r="P642" s="106"/>
      <c r="Q642" s="106"/>
    </row>
    <row r="643" spans="2:17" hidden="1" outlineLevel="1">
      <c r="C643" s="9"/>
      <c r="D643" s="52">
        <v>7</v>
      </c>
      <c r="E643" s="293" t="s">
        <v>207</v>
      </c>
      <c r="F643" s="55"/>
      <c r="G643" s="138"/>
      <c r="H643" s="106"/>
      <c r="I643" s="139"/>
      <c r="J643" s="106"/>
      <c r="K643" s="106"/>
      <c r="L643" s="154"/>
      <c r="M643" s="106"/>
      <c r="N643" s="106"/>
      <c r="O643" s="106"/>
      <c r="P643" s="106"/>
      <c r="Q643" s="106"/>
    </row>
    <row r="644" spans="2:17" hidden="1" outlineLevel="1">
      <c r="C644" s="9"/>
      <c r="D644" s="5">
        <v>8</v>
      </c>
      <c r="E644" s="303" t="s">
        <v>210</v>
      </c>
      <c r="F644" s="20" t="s">
        <v>211</v>
      </c>
      <c r="G644" s="306"/>
      <c r="H644" s="306"/>
      <c r="I644" s="306"/>
      <c r="J644" s="306"/>
      <c r="K644" s="306"/>
      <c r="L644" s="306"/>
      <c r="M644" s="306"/>
      <c r="N644" s="306"/>
      <c r="O644" s="306"/>
      <c r="P644" s="229"/>
      <c r="Q644" s="229"/>
    </row>
    <row r="645" spans="2:17" hidden="1" outlineLevel="1">
      <c r="C645" s="9"/>
      <c r="D645" s="52">
        <v>9</v>
      </c>
      <c r="E645" s="293" t="s">
        <v>212</v>
      </c>
      <c r="F645" s="55" t="s">
        <v>287</v>
      </c>
      <c r="G645" s="306"/>
      <c r="H645" s="229"/>
      <c r="I645" s="307"/>
      <c r="J645" s="229"/>
      <c r="K645" s="229"/>
      <c r="L645" s="229"/>
      <c r="M645" s="229"/>
      <c r="N645" s="229"/>
      <c r="O645" s="229"/>
      <c r="P645" s="229"/>
      <c r="Q645" s="229"/>
    </row>
    <row r="646" spans="2:17" hidden="1" outlineLevel="1">
      <c r="C646" s="9"/>
      <c r="D646" s="7">
        <v>10</v>
      </c>
      <c r="E646" s="310" t="s">
        <v>213</v>
      </c>
      <c r="F646" s="22"/>
      <c r="G646" s="12" t="str">
        <f>IFERROR(+G642/G644,"")</f>
        <v/>
      </c>
      <c r="H646" s="13" t="str">
        <f>IFERROR(+H642/H644,"")</f>
        <v/>
      </c>
      <c r="I646" s="16" t="str">
        <f t="shared" ref="I646:Q646" si="165">IFERROR(+I642/I644,"")</f>
        <v/>
      </c>
      <c r="J646" s="13" t="str">
        <f t="shared" si="165"/>
        <v/>
      </c>
      <c r="K646" s="13" t="str">
        <f t="shared" si="165"/>
        <v/>
      </c>
      <c r="L646" s="13" t="str">
        <f t="shared" si="165"/>
        <v/>
      </c>
      <c r="M646" s="13" t="str">
        <f t="shared" si="165"/>
        <v/>
      </c>
      <c r="N646" s="13" t="str">
        <f t="shared" si="165"/>
        <v/>
      </c>
      <c r="O646" s="13" t="str">
        <f t="shared" si="165"/>
        <v/>
      </c>
      <c r="P646" s="13" t="str">
        <f t="shared" si="165"/>
        <v/>
      </c>
      <c r="Q646" s="13" t="str">
        <f t="shared" si="165"/>
        <v/>
      </c>
    </row>
    <row r="647" spans="2:17" hidden="1" outlineLevel="1">
      <c r="C647" s="9"/>
      <c r="D647" s="7">
        <v>11</v>
      </c>
      <c r="E647" s="310" t="s">
        <v>214</v>
      </c>
      <c r="F647" s="22" t="s">
        <v>215</v>
      </c>
      <c r="G647" s="14"/>
      <c r="H647" s="48" t="str">
        <f t="shared" ref="H647:Q647" si="166">IFERROR((H646-G646)/G646,"")</f>
        <v/>
      </c>
      <c r="I647" s="49" t="str">
        <f t="shared" si="166"/>
        <v/>
      </c>
      <c r="J647" s="48" t="str">
        <f t="shared" si="166"/>
        <v/>
      </c>
      <c r="K647" s="48" t="str">
        <f>IFERROR((K646-J646)/J646,"")</f>
        <v/>
      </c>
      <c r="L647" s="48" t="str">
        <f t="shared" si="166"/>
        <v/>
      </c>
      <c r="M647" s="48" t="str">
        <f t="shared" si="166"/>
        <v/>
      </c>
      <c r="N647" s="48" t="str">
        <f t="shared" si="166"/>
        <v/>
      </c>
      <c r="O647" s="48" t="str">
        <f t="shared" si="166"/>
        <v/>
      </c>
      <c r="P647" s="48" t="str">
        <f t="shared" si="166"/>
        <v/>
      </c>
      <c r="Q647" s="48" t="str">
        <f t="shared" si="166"/>
        <v/>
      </c>
    </row>
    <row r="648" spans="2:17" hidden="1" outlineLevel="1">
      <c r="C648" s="9"/>
      <c r="D648" s="7">
        <v>12</v>
      </c>
      <c r="E648" s="310" t="s">
        <v>216</v>
      </c>
      <c r="F648" s="21"/>
      <c r="G648" s="70" t="str">
        <f t="shared" ref="G648:Q648" si="167">IFERROR(+G643/G645,"")</f>
        <v/>
      </c>
      <c r="H648" s="71" t="str">
        <f t="shared" si="167"/>
        <v/>
      </c>
      <c r="I648" s="71" t="str">
        <f t="shared" si="167"/>
        <v/>
      </c>
      <c r="J648" s="71" t="str">
        <f t="shared" si="167"/>
        <v/>
      </c>
      <c r="K648" s="71" t="str">
        <f t="shared" si="167"/>
        <v/>
      </c>
      <c r="L648" s="71" t="str">
        <f t="shared" si="167"/>
        <v/>
      </c>
      <c r="M648" s="71" t="str">
        <f t="shared" si="167"/>
        <v/>
      </c>
      <c r="N648" s="71" t="str">
        <f t="shared" si="167"/>
        <v/>
      </c>
      <c r="O648" s="71" t="str">
        <f t="shared" si="167"/>
        <v/>
      </c>
      <c r="P648" s="71" t="str">
        <f t="shared" si="167"/>
        <v/>
      </c>
      <c r="Q648" s="71" t="str">
        <f t="shared" si="167"/>
        <v/>
      </c>
    </row>
    <row r="649" spans="2:17" hidden="1" outlineLevel="1">
      <c r="D649" s="7">
        <v>13</v>
      </c>
      <c r="E649" s="310" t="s">
        <v>217</v>
      </c>
      <c r="F649" s="21" t="s">
        <v>218</v>
      </c>
      <c r="G649" s="14"/>
      <c r="H649" s="48" t="str">
        <f t="shared" ref="H649:Q649" si="168">IFERROR((H648-G648)/G648,"")</f>
        <v/>
      </c>
      <c r="I649" s="49" t="str">
        <f t="shared" si="168"/>
        <v/>
      </c>
      <c r="J649" s="48" t="str">
        <f t="shared" si="168"/>
        <v/>
      </c>
      <c r="K649" s="48" t="str">
        <f t="shared" si="168"/>
        <v/>
      </c>
      <c r="L649" s="48" t="str">
        <f t="shared" si="168"/>
        <v/>
      </c>
      <c r="M649" s="48" t="str">
        <f t="shared" si="168"/>
        <v/>
      </c>
      <c r="N649" s="48" t="str">
        <f t="shared" si="168"/>
        <v/>
      </c>
      <c r="O649" s="48" t="str">
        <f t="shared" si="168"/>
        <v/>
      </c>
      <c r="P649" s="48" t="str">
        <f t="shared" si="168"/>
        <v/>
      </c>
      <c r="Q649" s="48" t="str">
        <f t="shared" si="168"/>
        <v/>
      </c>
    </row>
    <row r="650" spans="2:17" collapsed="1">
      <c r="E650" s="314"/>
    </row>
    <row r="651" spans="2:17" ht="18.5" thickBot="1">
      <c r="B651" s="69"/>
      <c r="C651" s="46" t="s">
        <v>318</v>
      </c>
      <c r="D651" s="4"/>
      <c r="E651" s="308"/>
      <c r="F651" s="240" t="str">
        <f>IF(G652="","","折りたたまれたセルのグループ（非表示行）を展開して、入力項目を入力してください。")</f>
        <v/>
      </c>
      <c r="L651" s="51"/>
    </row>
    <row r="652" spans="2:17" ht="50.15" customHeight="1" thickBot="1">
      <c r="D652" s="241" t="s">
        <v>319</v>
      </c>
      <c r="E652" s="318" t="s">
        <v>275</v>
      </c>
      <c r="F652" s="242"/>
      <c r="G652" s="243" t="str">
        <f>IF($P$104="","",$P$104)</f>
        <v/>
      </c>
      <c r="H652" s="244"/>
      <c r="I652" s="244"/>
      <c r="J652" s="244"/>
      <c r="K652" s="244"/>
      <c r="L652" s="244"/>
      <c r="M652" s="244"/>
      <c r="N652" s="244"/>
      <c r="O652" s="244"/>
      <c r="P652" s="244"/>
      <c r="Q652" s="244"/>
    </row>
    <row r="653" spans="2:17" hidden="1" outlineLevel="1">
      <c r="D653" s="245">
        <v>2</v>
      </c>
      <c r="E653" s="319" t="s">
        <v>292</v>
      </c>
      <c r="F653" s="246" t="s">
        <v>241</v>
      </c>
      <c r="G653" s="144"/>
      <c r="H653" s="244"/>
      <c r="I653" s="244"/>
      <c r="J653" s="244"/>
      <c r="K653" s="244"/>
      <c r="L653" s="244"/>
      <c r="M653" s="244"/>
      <c r="N653" s="244"/>
      <c r="O653" s="244"/>
      <c r="P653" s="244"/>
      <c r="Q653" s="244"/>
    </row>
    <row r="654" spans="2:17" ht="33" hidden="1" outlineLevel="1">
      <c r="D654" s="245">
        <v>3</v>
      </c>
      <c r="E654" s="319" t="s">
        <v>277</v>
      </c>
      <c r="F654" s="247" t="s">
        <v>241</v>
      </c>
      <c r="G654" s="248"/>
      <c r="H654" s="244"/>
      <c r="I654" s="244"/>
      <c r="J654" s="244"/>
      <c r="K654" s="384" t="s">
        <v>278</v>
      </c>
      <c r="L654" s="384"/>
      <c r="M654" s="384"/>
      <c r="N654" s="384"/>
      <c r="O654" s="249"/>
      <c r="P654" s="250" t="s">
        <v>279</v>
      </c>
      <c r="Q654" s="251" t="s">
        <v>280</v>
      </c>
    </row>
    <row r="655" spans="2:17" hidden="1" outlineLevel="1">
      <c r="D655" s="245">
        <v>4</v>
      </c>
      <c r="E655" s="320" t="s">
        <v>281</v>
      </c>
      <c r="F655" s="252" t="s">
        <v>241</v>
      </c>
      <c r="G655" s="248"/>
      <c r="H655" s="253"/>
      <c r="I655" s="244"/>
      <c r="J655" s="244"/>
      <c r="K655" s="384"/>
      <c r="L655" s="384"/>
      <c r="M655" s="384"/>
      <c r="N655" s="384"/>
      <c r="O655" s="254" t="s">
        <v>282</v>
      </c>
      <c r="P655" s="255" t="str">
        <f>IF(AND(COUNTA($G662:$Q662)&gt;0,SUMIF($G662:$Q662,"&lt;&gt;"&amp;"")=0),"－",IFERROR(((HLOOKUP(EDATE($F$13,36),$G659:$Q667,6,FALSE))/(HLOOKUP(EDATE($F$13,0),$G659:$Q667,6,FALSE)))^(1/3)-1,""))</f>
        <v/>
      </c>
      <c r="Q655" s="385">
        <v>4.4999999999999998E-2</v>
      </c>
    </row>
    <row r="656" spans="2:17" ht="36" hidden="1" outlineLevel="1">
      <c r="D656" s="245">
        <v>5</v>
      </c>
      <c r="E656" s="320" t="s">
        <v>283</v>
      </c>
      <c r="F656" s="252" t="s">
        <v>256</v>
      </c>
      <c r="G656" s="321"/>
      <c r="H656" s="253"/>
      <c r="I656" s="244"/>
      <c r="J656" s="244"/>
      <c r="K656" s="384"/>
      <c r="L656" s="384"/>
      <c r="M656" s="384"/>
      <c r="N656" s="384"/>
      <c r="O656" s="254" t="s">
        <v>284</v>
      </c>
      <c r="P656" s="254" t="str">
        <f>IF(AND(COUNTA($G663:$Q663)&gt;0,SUMIF($G663:$Q663,"&lt;&gt;"&amp;"")=0),"－",IFERROR(((HLOOKUP(EDATE($F$13,36),$G659:$Q667,8,FALSE))/(HLOOKUP(EDATE($F$13,0),$G659:$Q667,8,FALSE)))^(1/3)-1,""))</f>
        <v/>
      </c>
      <c r="Q656" s="386"/>
    </row>
    <row r="657" spans="2:17" hidden="1" outlineLevel="1">
      <c r="D657" s="256"/>
      <c r="E657" s="322" t="s">
        <v>257</v>
      </c>
      <c r="F657" s="257"/>
      <c r="G657" s="244" t="s">
        <v>179</v>
      </c>
      <c r="H657" s="244"/>
      <c r="I657" s="244"/>
      <c r="J657" s="244"/>
      <c r="K657" s="244"/>
      <c r="L657" s="244"/>
      <c r="M657" s="244"/>
      <c r="N657" s="244"/>
      <c r="O657" s="244"/>
      <c r="P657" s="244"/>
      <c r="Q657" s="244"/>
    </row>
    <row r="658" spans="2:17" hidden="1" outlineLevel="1">
      <c r="D658" s="258"/>
      <c r="E658" s="323"/>
      <c r="F658" s="259"/>
      <c r="G658" s="260" t="s">
        <v>181</v>
      </c>
      <c r="H658" s="260" t="s">
        <v>182</v>
      </c>
      <c r="I658" s="260" t="s">
        <v>183</v>
      </c>
      <c r="J658" s="261" t="s">
        <v>184</v>
      </c>
      <c r="K658" s="261"/>
      <c r="L658" s="261"/>
      <c r="M658" s="261"/>
      <c r="N658" s="261"/>
      <c r="O658" s="261"/>
      <c r="P658" s="261"/>
      <c r="Q658" s="261"/>
    </row>
    <row r="659" spans="2:17" hidden="1" outlineLevel="1">
      <c r="D659" s="262"/>
      <c r="E659" s="324"/>
      <c r="F659" s="263"/>
      <c r="G659" s="63" t="str">
        <f>IF($I659="","",EDATE(H659,-12))</f>
        <v/>
      </c>
      <c r="H659" s="63" t="str">
        <f>IF($I659="","",EDATE(I659,-12))</f>
        <v/>
      </c>
      <c r="I659" s="63" t="str">
        <f>IF($I$12="","",$I$12)</f>
        <v/>
      </c>
      <c r="J659" s="63" t="str">
        <f t="shared" ref="J659:Q659" si="169">IF($I659="","",EDATE(I659,12))</f>
        <v/>
      </c>
      <c r="K659" s="63" t="str">
        <f t="shared" si="169"/>
        <v/>
      </c>
      <c r="L659" s="63" t="str">
        <f t="shared" si="169"/>
        <v/>
      </c>
      <c r="M659" s="63" t="str">
        <f t="shared" si="169"/>
        <v/>
      </c>
      <c r="N659" s="63" t="str">
        <f t="shared" si="169"/>
        <v/>
      </c>
      <c r="O659" s="63" t="str">
        <f t="shared" si="169"/>
        <v/>
      </c>
      <c r="P659" s="63" t="str">
        <f t="shared" si="169"/>
        <v/>
      </c>
      <c r="Q659" s="63" t="str">
        <f t="shared" si="169"/>
        <v/>
      </c>
    </row>
    <row r="660" spans="2:17" hidden="1" outlineLevel="1">
      <c r="D660" s="245">
        <v>6</v>
      </c>
      <c r="E660" s="320" t="s">
        <v>206</v>
      </c>
      <c r="F660" s="264"/>
      <c r="G660" s="138"/>
      <c r="H660" s="138"/>
      <c r="I660" s="138"/>
      <c r="J660" s="138"/>
      <c r="K660" s="138"/>
      <c r="L660" s="138"/>
      <c r="M660" s="138"/>
      <c r="N660" s="138"/>
      <c r="O660" s="138"/>
      <c r="P660" s="106"/>
      <c r="Q660" s="106"/>
    </row>
    <row r="661" spans="2:17" hidden="1" outlineLevel="1">
      <c r="C661" s="9"/>
      <c r="D661" s="245">
        <v>7</v>
      </c>
      <c r="E661" s="320" t="s">
        <v>207</v>
      </c>
      <c r="F661" s="264"/>
      <c r="G661" s="138"/>
      <c r="H661" s="106"/>
      <c r="I661" s="139"/>
      <c r="J661" s="106"/>
      <c r="K661" s="106"/>
      <c r="L661" s="154"/>
      <c r="M661" s="106"/>
      <c r="N661" s="106"/>
      <c r="O661" s="106"/>
      <c r="P661" s="106"/>
      <c r="Q661" s="106"/>
    </row>
    <row r="662" spans="2:17" hidden="1" outlineLevel="1">
      <c r="C662" s="9"/>
      <c r="D662" s="265">
        <v>8</v>
      </c>
      <c r="E662" s="325" t="s">
        <v>210</v>
      </c>
      <c r="F662" s="266" t="s">
        <v>211</v>
      </c>
      <c r="G662" s="306"/>
      <c r="H662" s="306"/>
      <c r="I662" s="306"/>
      <c r="J662" s="306"/>
      <c r="K662" s="306"/>
      <c r="L662" s="306"/>
      <c r="M662" s="306"/>
      <c r="N662" s="306"/>
      <c r="O662" s="306"/>
      <c r="P662" s="229"/>
      <c r="Q662" s="229"/>
    </row>
    <row r="663" spans="2:17" hidden="1" outlineLevel="1">
      <c r="C663" s="9"/>
      <c r="D663" s="245">
        <v>9</v>
      </c>
      <c r="E663" s="320" t="s">
        <v>212</v>
      </c>
      <c r="F663" s="264" t="s">
        <v>287</v>
      </c>
      <c r="G663" s="306"/>
      <c r="H663" s="229"/>
      <c r="I663" s="307"/>
      <c r="J663" s="229"/>
      <c r="K663" s="229"/>
      <c r="L663" s="229"/>
      <c r="M663" s="229"/>
      <c r="N663" s="229"/>
      <c r="O663" s="229"/>
      <c r="P663" s="229"/>
      <c r="Q663" s="229"/>
    </row>
    <row r="664" spans="2:17" hidden="1" outlineLevel="1">
      <c r="C664" s="9"/>
      <c r="D664" s="267">
        <v>10</v>
      </c>
      <c r="E664" s="326" t="s">
        <v>213</v>
      </c>
      <c r="F664" s="268"/>
      <c r="G664" s="12" t="str">
        <f>IFERROR(+G660/G662,"")</f>
        <v/>
      </c>
      <c r="H664" s="13" t="str">
        <f>IFERROR(+H660/H662,"")</f>
        <v/>
      </c>
      <c r="I664" s="16" t="str">
        <f t="shared" ref="I664:Q664" si="170">IFERROR(+I660/I662,"")</f>
        <v/>
      </c>
      <c r="J664" s="13" t="str">
        <f t="shared" si="170"/>
        <v/>
      </c>
      <c r="K664" s="13" t="str">
        <f t="shared" si="170"/>
        <v/>
      </c>
      <c r="L664" s="13" t="str">
        <f t="shared" si="170"/>
        <v/>
      </c>
      <c r="M664" s="13" t="str">
        <f t="shared" si="170"/>
        <v/>
      </c>
      <c r="N664" s="13" t="str">
        <f t="shared" si="170"/>
        <v/>
      </c>
      <c r="O664" s="13" t="str">
        <f t="shared" si="170"/>
        <v/>
      </c>
      <c r="P664" s="13" t="str">
        <f t="shared" si="170"/>
        <v/>
      </c>
      <c r="Q664" s="13" t="str">
        <f t="shared" si="170"/>
        <v/>
      </c>
    </row>
    <row r="665" spans="2:17" hidden="1" outlineLevel="1">
      <c r="C665" s="9"/>
      <c r="D665" s="267">
        <v>11</v>
      </c>
      <c r="E665" s="326" t="s">
        <v>214</v>
      </c>
      <c r="F665" s="268" t="s">
        <v>215</v>
      </c>
      <c r="G665" s="14"/>
      <c r="H665" s="13" t="str">
        <f t="shared" ref="H665:Q665" si="171">IFERROR((H664-G664)/G664,"")</f>
        <v/>
      </c>
      <c r="I665" s="16" t="str">
        <f t="shared" si="171"/>
        <v/>
      </c>
      <c r="J665" s="13" t="str">
        <f t="shared" si="171"/>
        <v/>
      </c>
      <c r="K665" s="13" t="str">
        <f>IFERROR((K664-J664)/J664,"")</f>
        <v/>
      </c>
      <c r="L665" s="13" t="str">
        <f t="shared" si="171"/>
        <v/>
      </c>
      <c r="M665" s="13" t="str">
        <f t="shared" si="171"/>
        <v/>
      </c>
      <c r="N665" s="13" t="str">
        <f t="shared" si="171"/>
        <v/>
      </c>
      <c r="O665" s="13" t="str">
        <f t="shared" si="171"/>
        <v/>
      </c>
      <c r="P665" s="13" t="str">
        <f t="shared" si="171"/>
        <v/>
      </c>
      <c r="Q665" s="13" t="str">
        <f t="shared" si="171"/>
        <v/>
      </c>
    </row>
    <row r="666" spans="2:17" hidden="1" outlineLevel="1">
      <c r="C666" s="9"/>
      <c r="D666" s="267">
        <v>12</v>
      </c>
      <c r="E666" s="326" t="s">
        <v>216</v>
      </c>
      <c r="F666" s="269"/>
      <c r="G666" s="70" t="str">
        <f t="shared" ref="G666:Q666" si="172">IFERROR(+G661/G663,"")</f>
        <v/>
      </c>
      <c r="H666" s="71" t="str">
        <f t="shared" si="172"/>
        <v/>
      </c>
      <c r="I666" s="71" t="str">
        <f t="shared" si="172"/>
        <v/>
      </c>
      <c r="J666" s="71" t="str">
        <f t="shared" si="172"/>
        <v/>
      </c>
      <c r="K666" s="71" t="str">
        <f t="shared" si="172"/>
        <v/>
      </c>
      <c r="L666" s="71" t="str">
        <f t="shared" si="172"/>
        <v/>
      </c>
      <c r="M666" s="71" t="str">
        <f t="shared" si="172"/>
        <v/>
      </c>
      <c r="N666" s="71" t="str">
        <f t="shared" si="172"/>
        <v/>
      </c>
      <c r="O666" s="71" t="str">
        <f t="shared" si="172"/>
        <v/>
      </c>
      <c r="P666" s="71" t="str">
        <f t="shared" si="172"/>
        <v/>
      </c>
      <c r="Q666" s="71" t="str">
        <f t="shared" si="172"/>
        <v/>
      </c>
    </row>
    <row r="667" spans="2:17" hidden="1" outlineLevel="1">
      <c r="D667" s="267">
        <v>13</v>
      </c>
      <c r="E667" s="326" t="s">
        <v>217</v>
      </c>
      <c r="F667" s="269" t="s">
        <v>218</v>
      </c>
      <c r="G667" s="14"/>
      <c r="H667" s="13" t="str">
        <f t="shared" ref="H667:Q667" si="173">IFERROR((H666-G666)/G666,"")</f>
        <v/>
      </c>
      <c r="I667" s="16" t="str">
        <f t="shared" si="173"/>
        <v/>
      </c>
      <c r="J667" s="13" t="str">
        <f t="shared" si="173"/>
        <v/>
      </c>
      <c r="K667" s="13" t="str">
        <f t="shared" si="173"/>
        <v/>
      </c>
      <c r="L667" s="13" t="str">
        <f t="shared" si="173"/>
        <v/>
      </c>
      <c r="M667" s="13" t="str">
        <f t="shared" si="173"/>
        <v/>
      </c>
      <c r="N667" s="13" t="str">
        <f t="shared" si="173"/>
        <v/>
      </c>
      <c r="O667" s="13" t="str">
        <f t="shared" si="173"/>
        <v/>
      </c>
      <c r="P667" s="13" t="str">
        <f t="shared" si="173"/>
        <v/>
      </c>
      <c r="Q667" s="13" t="str">
        <f t="shared" si="173"/>
        <v/>
      </c>
    </row>
    <row r="668" spans="2:17" collapsed="1">
      <c r="E668" s="314"/>
    </row>
    <row r="669" spans="2:17" ht="18.5" thickBot="1">
      <c r="B669" s="69"/>
      <c r="C669" s="46" t="s">
        <v>320</v>
      </c>
      <c r="D669" s="4"/>
      <c r="E669" s="308"/>
      <c r="F669" s="240" t="str">
        <f>IF(G670="","","折りたたまれたセルのグループ（非表示行）を展開して、入力項目を入力してください。")</f>
        <v/>
      </c>
      <c r="L669" s="51"/>
    </row>
    <row r="670" spans="2:17" ht="50.15" customHeight="1" thickBot="1">
      <c r="D670" s="128">
        <v>1</v>
      </c>
      <c r="E670" s="311" t="s">
        <v>275</v>
      </c>
      <c r="F670" s="129"/>
      <c r="G670" s="130" t="str">
        <f>IF($G$106="","",$G$106)</f>
        <v/>
      </c>
    </row>
    <row r="671" spans="2:17" hidden="1" outlineLevel="1">
      <c r="D671" s="52">
        <v>2</v>
      </c>
      <c r="E671" s="312" t="s">
        <v>292</v>
      </c>
      <c r="F671" s="57" t="s">
        <v>241</v>
      </c>
      <c r="G671" s="144"/>
    </row>
    <row r="672" spans="2:17" ht="33" hidden="1" outlineLevel="1">
      <c r="D672" s="52">
        <v>3</v>
      </c>
      <c r="E672" s="312" t="s">
        <v>277</v>
      </c>
      <c r="F672" s="30" t="s">
        <v>241</v>
      </c>
      <c r="G672" s="141"/>
      <c r="K672" s="375" t="s">
        <v>278</v>
      </c>
      <c r="L672" s="375"/>
      <c r="M672" s="375"/>
      <c r="N672" s="375"/>
      <c r="O672" s="196"/>
      <c r="P672" s="195" t="s">
        <v>279</v>
      </c>
      <c r="Q672" s="50" t="s">
        <v>280</v>
      </c>
    </row>
    <row r="673" spans="2:17" hidden="1" outlineLevel="1">
      <c r="D673" s="52">
        <v>4</v>
      </c>
      <c r="E673" s="293" t="s">
        <v>281</v>
      </c>
      <c r="F673" s="19" t="s">
        <v>241</v>
      </c>
      <c r="G673" s="141"/>
      <c r="H673" s="6"/>
      <c r="K673" s="375"/>
      <c r="L673" s="375"/>
      <c r="M673" s="375"/>
      <c r="N673" s="375"/>
      <c r="O673" s="125" t="s">
        <v>282</v>
      </c>
      <c r="P673" s="131" t="str">
        <f>IF(AND(COUNTA($G680:$Q680)&gt;0,SUMIF($G680:$Q680,"&lt;&gt;"&amp;"")=0),"－",IFERROR(((HLOOKUP(EDATE($F$13,36),$G677:$Q685,6,FALSE))/(HLOOKUP(EDATE($F$13,0),$G677:$Q685,6,FALSE)))^(1/3)-1,""))</f>
        <v/>
      </c>
      <c r="Q673" s="376">
        <v>4.4999999999999998E-2</v>
      </c>
    </row>
    <row r="674" spans="2:17" ht="36" hidden="1" outlineLevel="1">
      <c r="D674" s="52">
        <v>5</v>
      </c>
      <c r="E674" s="293" t="s">
        <v>283</v>
      </c>
      <c r="F674" s="19" t="s">
        <v>256</v>
      </c>
      <c r="G674" s="315"/>
      <c r="H674" s="6"/>
      <c r="K674" s="375"/>
      <c r="L674" s="375"/>
      <c r="M674" s="375"/>
      <c r="N674" s="375"/>
      <c r="O674" s="125" t="s">
        <v>284</v>
      </c>
      <c r="P674" s="125" t="str">
        <f>IF(AND(COUNTA($G681:$Q681)&gt;0,SUMIF($G681:$Q681,"&lt;&gt;"&amp;"")=0),"－",IFERROR(((HLOOKUP(EDATE($F$13,36),$G677:$Q685,8,FALSE))/(HLOOKUP(EDATE($F$13,0),$G677:$Q685,8,FALSE)))^(1/3)-1,""))</f>
        <v/>
      </c>
      <c r="Q674" s="377"/>
    </row>
    <row r="675" spans="2:17" hidden="1" outlineLevel="1">
      <c r="D675" s="35"/>
      <c r="E675" s="316" t="s">
        <v>257</v>
      </c>
      <c r="F675" s="34"/>
      <c r="G675" s="1" t="s">
        <v>179</v>
      </c>
    </row>
    <row r="676" spans="2:17" hidden="1" outlineLevel="1">
      <c r="E676" s="308"/>
      <c r="G676" s="64" t="s">
        <v>181</v>
      </c>
      <c r="H676" s="64" t="s">
        <v>182</v>
      </c>
      <c r="I676" s="64" t="s">
        <v>183</v>
      </c>
      <c r="J676" s="132" t="s">
        <v>184</v>
      </c>
      <c r="K676" s="132"/>
      <c r="L676" s="132"/>
      <c r="M676" s="132"/>
      <c r="N676" s="132"/>
      <c r="O676" s="132"/>
      <c r="P676" s="132"/>
      <c r="Q676" s="132"/>
    </row>
    <row r="677" spans="2:17" hidden="1" outlineLevel="1">
      <c r="D677" s="11"/>
      <c r="E677" s="206"/>
      <c r="F677" s="56"/>
      <c r="G677" s="63" t="str">
        <f>IF($I677="","",EDATE(H677,-12))</f>
        <v/>
      </c>
      <c r="H677" s="63" t="str">
        <f>IF($I677="","",EDATE(I677,-12))</f>
        <v/>
      </c>
      <c r="I677" s="63" t="str">
        <f>IF($I$12="","",$I$12)</f>
        <v/>
      </c>
      <c r="J677" s="63" t="str">
        <f t="shared" ref="J677:Q677" si="174">IF($I677="","",EDATE(I677,12))</f>
        <v/>
      </c>
      <c r="K677" s="63" t="str">
        <f t="shared" si="174"/>
        <v/>
      </c>
      <c r="L677" s="63" t="str">
        <f t="shared" si="174"/>
        <v/>
      </c>
      <c r="M677" s="63" t="str">
        <f t="shared" si="174"/>
        <v/>
      </c>
      <c r="N677" s="63" t="str">
        <f t="shared" si="174"/>
        <v/>
      </c>
      <c r="O677" s="63" t="str">
        <f t="shared" si="174"/>
        <v/>
      </c>
      <c r="P677" s="63" t="str">
        <f t="shared" si="174"/>
        <v/>
      </c>
      <c r="Q677" s="63" t="str">
        <f t="shared" si="174"/>
        <v/>
      </c>
    </row>
    <row r="678" spans="2:17" hidden="1" outlineLevel="1">
      <c r="D678" s="52">
        <v>6</v>
      </c>
      <c r="E678" s="293" t="s">
        <v>206</v>
      </c>
      <c r="F678" s="55"/>
      <c r="G678" s="138"/>
      <c r="H678" s="138"/>
      <c r="I678" s="138"/>
      <c r="J678" s="138"/>
      <c r="K678" s="138"/>
      <c r="L678" s="138"/>
      <c r="M678" s="138"/>
      <c r="N678" s="138"/>
      <c r="O678" s="138"/>
      <c r="P678" s="106"/>
      <c r="Q678" s="106"/>
    </row>
    <row r="679" spans="2:17" hidden="1" outlineLevel="1">
      <c r="C679" s="9"/>
      <c r="D679" s="52">
        <v>7</v>
      </c>
      <c r="E679" s="293" t="s">
        <v>207</v>
      </c>
      <c r="F679" s="55"/>
      <c r="G679" s="138"/>
      <c r="H679" s="106"/>
      <c r="I679" s="139"/>
      <c r="J679" s="106"/>
      <c r="K679" s="106"/>
      <c r="L679" s="154"/>
      <c r="M679" s="106"/>
      <c r="N679" s="106"/>
      <c r="O679" s="106"/>
      <c r="P679" s="106"/>
      <c r="Q679" s="106"/>
    </row>
    <row r="680" spans="2:17" hidden="1" outlineLevel="1">
      <c r="C680" s="9"/>
      <c r="D680" s="5">
        <v>8</v>
      </c>
      <c r="E680" s="303" t="s">
        <v>210</v>
      </c>
      <c r="F680" s="20" t="s">
        <v>211</v>
      </c>
      <c r="G680" s="306"/>
      <c r="H680" s="306"/>
      <c r="I680" s="306"/>
      <c r="J680" s="306"/>
      <c r="K680" s="306"/>
      <c r="L680" s="306"/>
      <c r="M680" s="306"/>
      <c r="N680" s="306"/>
      <c r="O680" s="306"/>
      <c r="P680" s="229"/>
      <c r="Q680" s="229"/>
    </row>
    <row r="681" spans="2:17" hidden="1" outlineLevel="1">
      <c r="C681" s="9"/>
      <c r="D681" s="52">
        <v>9</v>
      </c>
      <c r="E681" s="293" t="s">
        <v>212</v>
      </c>
      <c r="F681" s="55" t="s">
        <v>287</v>
      </c>
      <c r="G681" s="306"/>
      <c r="H681" s="229"/>
      <c r="I681" s="307"/>
      <c r="J681" s="229"/>
      <c r="K681" s="229"/>
      <c r="L681" s="229"/>
      <c r="M681" s="229"/>
      <c r="N681" s="229"/>
      <c r="O681" s="229"/>
      <c r="P681" s="229"/>
      <c r="Q681" s="229"/>
    </row>
    <row r="682" spans="2:17" hidden="1" outlineLevel="1">
      <c r="C682" s="9"/>
      <c r="D682" s="7">
        <v>10</v>
      </c>
      <c r="E682" s="310" t="s">
        <v>213</v>
      </c>
      <c r="F682" s="22"/>
      <c r="G682" s="12" t="str">
        <f>IFERROR(+G678/G680,"")</f>
        <v/>
      </c>
      <c r="H682" s="13" t="str">
        <f>IFERROR(+H678/H680,"")</f>
        <v/>
      </c>
      <c r="I682" s="16" t="str">
        <f t="shared" ref="I682:Q682" si="175">IFERROR(+I678/I680,"")</f>
        <v/>
      </c>
      <c r="J682" s="13" t="str">
        <f t="shared" si="175"/>
        <v/>
      </c>
      <c r="K682" s="13" t="str">
        <f t="shared" si="175"/>
        <v/>
      </c>
      <c r="L682" s="13" t="str">
        <f t="shared" si="175"/>
        <v/>
      </c>
      <c r="M682" s="13" t="str">
        <f t="shared" si="175"/>
        <v/>
      </c>
      <c r="N682" s="13" t="str">
        <f t="shared" si="175"/>
        <v/>
      </c>
      <c r="O682" s="13" t="str">
        <f t="shared" si="175"/>
        <v/>
      </c>
      <c r="P682" s="13" t="str">
        <f t="shared" si="175"/>
        <v/>
      </c>
      <c r="Q682" s="13" t="str">
        <f t="shared" si="175"/>
        <v/>
      </c>
    </row>
    <row r="683" spans="2:17" hidden="1" outlineLevel="1">
      <c r="C683" s="9"/>
      <c r="D683" s="7">
        <v>11</v>
      </c>
      <c r="E683" s="310" t="s">
        <v>214</v>
      </c>
      <c r="F683" s="22" t="s">
        <v>215</v>
      </c>
      <c r="G683" s="14"/>
      <c r="H683" s="48" t="str">
        <f t="shared" ref="H683:Q683" si="176">IFERROR((H682-G682)/G682,"")</f>
        <v/>
      </c>
      <c r="I683" s="49" t="str">
        <f t="shared" si="176"/>
        <v/>
      </c>
      <c r="J683" s="48" t="str">
        <f t="shared" si="176"/>
        <v/>
      </c>
      <c r="K683" s="48" t="str">
        <f>IFERROR((K682-J682)/J682,"")</f>
        <v/>
      </c>
      <c r="L683" s="48" t="str">
        <f t="shared" si="176"/>
        <v/>
      </c>
      <c r="M683" s="48" t="str">
        <f t="shared" si="176"/>
        <v/>
      </c>
      <c r="N683" s="48" t="str">
        <f t="shared" si="176"/>
        <v/>
      </c>
      <c r="O683" s="48" t="str">
        <f t="shared" si="176"/>
        <v/>
      </c>
      <c r="P683" s="48" t="str">
        <f t="shared" si="176"/>
        <v/>
      </c>
      <c r="Q683" s="48" t="str">
        <f t="shared" si="176"/>
        <v/>
      </c>
    </row>
    <row r="684" spans="2:17" hidden="1" outlineLevel="1">
      <c r="C684" s="9"/>
      <c r="D684" s="7">
        <v>12</v>
      </c>
      <c r="E684" s="310" t="s">
        <v>216</v>
      </c>
      <c r="F684" s="21"/>
      <c r="G684" s="70" t="str">
        <f t="shared" ref="G684:Q684" si="177">IFERROR(+G679/G681,"")</f>
        <v/>
      </c>
      <c r="H684" s="71" t="str">
        <f t="shared" si="177"/>
        <v/>
      </c>
      <c r="I684" s="71" t="str">
        <f t="shared" si="177"/>
        <v/>
      </c>
      <c r="J684" s="71" t="str">
        <f t="shared" si="177"/>
        <v/>
      </c>
      <c r="K684" s="71" t="str">
        <f t="shared" si="177"/>
        <v/>
      </c>
      <c r="L684" s="71" t="str">
        <f t="shared" si="177"/>
        <v/>
      </c>
      <c r="M684" s="71" t="str">
        <f t="shared" si="177"/>
        <v/>
      </c>
      <c r="N684" s="71" t="str">
        <f t="shared" si="177"/>
        <v/>
      </c>
      <c r="O684" s="71" t="str">
        <f t="shared" si="177"/>
        <v/>
      </c>
      <c r="P684" s="71" t="str">
        <f t="shared" si="177"/>
        <v/>
      </c>
      <c r="Q684" s="71" t="str">
        <f t="shared" si="177"/>
        <v/>
      </c>
    </row>
    <row r="685" spans="2:17" hidden="1" outlineLevel="1">
      <c r="D685" s="7">
        <v>13</v>
      </c>
      <c r="E685" s="310" t="s">
        <v>217</v>
      </c>
      <c r="F685" s="21" t="s">
        <v>218</v>
      </c>
      <c r="G685" s="14"/>
      <c r="H685" s="48" t="str">
        <f t="shared" ref="H685:Q685" si="178">IFERROR((H684-G684)/G684,"")</f>
        <v/>
      </c>
      <c r="I685" s="49" t="str">
        <f t="shared" si="178"/>
        <v/>
      </c>
      <c r="J685" s="48" t="str">
        <f t="shared" si="178"/>
        <v/>
      </c>
      <c r="K685" s="48" t="str">
        <f t="shared" si="178"/>
        <v/>
      </c>
      <c r="L685" s="48" t="str">
        <f t="shared" si="178"/>
        <v/>
      </c>
      <c r="M685" s="48" t="str">
        <f t="shared" si="178"/>
        <v/>
      </c>
      <c r="N685" s="48" t="str">
        <f t="shared" si="178"/>
        <v/>
      </c>
      <c r="O685" s="48" t="str">
        <f t="shared" si="178"/>
        <v/>
      </c>
      <c r="P685" s="48" t="str">
        <f t="shared" si="178"/>
        <v/>
      </c>
      <c r="Q685" s="48" t="str">
        <f t="shared" si="178"/>
        <v/>
      </c>
    </row>
    <row r="686" spans="2:17" collapsed="1">
      <c r="E686" s="314"/>
    </row>
    <row r="687" spans="2:17" ht="18.5" thickBot="1">
      <c r="B687" s="69"/>
      <c r="C687" s="46" t="s">
        <v>321</v>
      </c>
      <c r="D687" s="4"/>
      <c r="E687" s="308"/>
      <c r="F687" s="240" t="str">
        <f>IF(G688="","","折りたたまれたセルのグループ（非表示行）を展開して、入力項目を入力してください。")</f>
        <v/>
      </c>
      <c r="L687" s="51"/>
    </row>
    <row r="688" spans="2:17" ht="50.15" customHeight="1" thickBot="1">
      <c r="D688" s="128">
        <v>1</v>
      </c>
      <c r="E688" s="311" t="s">
        <v>275</v>
      </c>
      <c r="F688" s="129"/>
      <c r="G688" s="130" t="str">
        <f>IF($H$106="","",$H$106)</f>
        <v/>
      </c>
    </row>
    <row r="689" spans="3:17" hidden="1" outlineLevel="1">
      <c r="D689" s="52">
        <v>2</v>
      </c>
      <c r="E689" s="312" t="s">
        <v>292</v>
      </c>
      <c r="F689" s="57" t="s">
        <v>241</v>
      </c>
      <c r="G689" s="144"/>
    </row>
    <row r="690" spans="3:17" ht="33" hidden="1" outlineLevel="1">
      <c r="D690" s="52">
        <v>3</v>
      </c>
      <c r="E690" s="312" t="s">
        <v>277</v>
      </c>
      <c r="F690" s="30" t="s">
        <v>241</v>
      </c>
      <c r="G690" s="141"/>
      <c r="K690" s="375" t="s">
        <v>278</v>
      </c>
      <c r="L690" s="375"/>
      <c r="M690" s="375"/>
      <c r="N690" s="375"/>
      <c r="O690" s="196"/>
      <c r="P690" s="195" t="s">
        <v>279</v>
      </c>
      <c r="Q690" s="50" t="s">
        <v>280</v>
      </c>
    </row>
    <row r="691" spans="3:17" hidden="1" outlineLevel="1">
      <c r="D691" s="52">
        <v>4</v>
      </c>
      <c r="E691" s="293" t="s">
        <v>281</v>
      </c>
      <c r="F691" s="19" t="s">
        <v>241</v>
      </c>
      <c r="G691" s="141"/>
      <c r="H691" s="6"/>
      <c r="K691" s="375"/>
      <c r="L691" s="375"/>
      <c r="M691" s="375"/>
      <c r="N691" s="375"/>
      <c r="O691" s="125" t="s">
        <v>282</v>
      </c>
      <c r="P691" s="131" t="str">
        <f>IF(AND(COUNTA($G698:$Q698)&gt;0,SUMIF($G698:$Q698,"&lt;&gt;"&amp;"")=0),"－",IFERROR(((HLOOKUP(EDATE($F$13,36),$G695:$Q703,6,FALSE))/(HLOOKUP(EDATE($F$13,0),$G695:$Q703,6,FALSE)))^(1/3)-1,""))</f>
        <v/>
      </c>
      <c r="Q691" s="376">
        <v>4.4999999999999998E-2</v>
      </c>
    </row>
    <row r="692" spans="3:17" ht="36" hidden="1" outlineLevel="1">
      <c r="D692" s="52">
        <v>5</v>
      </c>
      <c r="E692" s="293" t="s">
        <v>283</v>
      </c>
      <c r="F692" s="19" t="s">
        <v>256</v>
      </c>
      <c r="G692" s="315"/>
      <c r="H692" s="6"/>
      <c r="K692" s="375"/>
      <c r="L692" s="375"/>
      <c r="M692" s="375"/>
      <c r="N692" s="375"/>
      <c r="O692" s="125" t="s">
        <v>284</v>
      </c>
      <c r="P692" s="125" t="str">
        <f>IF(AND(COUNTA($G699:$Q699)&gt;0,SUMIF($G699:$Q699,"&lt;&gt;"&amp;"")=0),"－",IFERROR(((HLOOKUP(EDATE($F$13,36),$G695:$Q703,8,FALSE))/(HLOOKUP(EDATE($F$13,0),$G695:$Q703,8,FALSE)))^(1/3)-1,""))</f>
        <v/>
      </c>
      <c r="Q692" s="377"/>
    </row>
    <row r="693" spans="3:17" hidden="1" outlineLevel="1">
      <c r="D693" s="35"/>
      <c r="E693" s="316" t="s">
        <v>257</v>
      </c>
      <c r="F693" s="34"/>
      <c r="G693" s="1" t="s">
        <v>179</v>
      </c>
    </row>
    <row r="694" spans="3:17" hidden="1" outlineLevel="1">
      <c r="E694" s="308"/>
      <c r="G694" s="64" t="s">
        <v>181</v>
      </c>
      <c r="H694" s="64" t="s">
        <v>182</v>
      </c>
      <c r="I694" s="64" t="s">
        <v>183</v>
      </c>
      <c r="J694" s="132" t="s">
        <v>184</v>
      </c>
      <c r="K694" s="132"/>
      <c r="L694" s="132"/>
      <c r="M694" s="132"/>
      <c r="N694" s="132"/>
      <c r="O694" s="132"/>
      <c r="P694" s="132"/>
      <c r="Q694" s="132"/>
    </row>
    <row r="695" spans="3:17" hidden="1" outlineLevel="1">
      <c r="D695" s="11"/>
      <c r="E695" s="206"/>
      <c r="F695" s="56"/>
      <c r="G695" s="63" t="str">
        <f>IF($I695="","",EDATE(H695,-12))</f>
        <v/>
      </c>
      <c r="H695" s="63" t="str">
        <f>IF($I695="","",EDATE(I695,-12))</f>
        <v/>
      </c>
      <c r="I695" s="63" t="str">
        <f>IF($I$12="","",$I$12)</f>
        <v/>
      </c>
      <c r="J695" s="63" t="str">
        <f t="shared" ref="J695:Q695" si="179">IF($I695="","",EDATE(I695,12))</f>
        <v/>
      </c>
      <c r="K695" s="63" t="str">
        <f t="shared" si="179"/>
        <v/>
      </c>
      <c r="L695" s="63" t="str">
        <f t="shared" si="179"/>
        <v/>
      </c>
      <c r="M695" s="63" t="str">
        <f t="shared" si="179"/>
        <v/>
      </c>
      <c r="N695" s="63" t="str">
        <f t="shared" si="179"/>
        <v/>
      </c>
      <c r="O695" s="63" t="str">
        <f t="shared" si="179"/>
        <v/>
      </c>
      <c r="P695" s="63" t="str">
        <f t="shared" si="179"/>
        <v/>
      </c>
      <c r="Q695" s="63" t="str">
        <f t="shared" si="179"/>
        <v/>
      </c>
    </row>
    <row r="696" spans="3:17" hidden="1" outlineLevel="1">
      <c r="D696" s="52">
        <v>6</v>
      </c>
      <c r="E696" s="293" t="s">
        <v>206</v>
      </c>
      <c r="F696" s="55"/>
      <c r="G696" s="138"/>
      <c r="H696" s="138"/>
      <c r="I696" s="138"/>
      <c r="J696" s="138"/>
      <c r="K696" s="138"/>
      <c r="L696" s="138"/>
      <c r="M696" s="138"/>
      <c r="N696" s="138"/>
      <c r="O696" s="138"/>
      <c r="P696" s="106"/>
      <c r="Q696" s="106"/>
    </row>
    <row r="697" spans="3:17" hidden="1" outlineLevel="1">
      <c r="C697" s="9"/>
      <c r="D697" s="52">
        <v>7</v>
      </c>
      <c r="E697" s="293" t="s">
        <v>207</v>
      </c>
      <c r="F697" s="55"/>
      <c r="G697" s="138"/>
      <c r="H697" s="106"/>
      <c r="I697" s="139"/>
      <c r="J697" s="106"/>
      <c r="K697" s="106"/>
      <c r="L697" s="154"/>
      <c r="M697" s="106"/>
      <c r="N697" s="106"/>
      <c r="O697" s="106"/>
      <c r="P697" s="106"/>
      <c r="Q697" s="106"/>
    </row>
    <row r="698" spans="3:17" hidden="1" outlineLevel="1">
      <c r="C698" s="9"/>
      <c r="D698" s="5">
        <v>8</v>
      </c>
      <c r="E698" s="303" t="s">
        <v>210</v>
      </c>
      <c r="F698" s="20" t="s">
        <v>211</v>
      </c>
      <c r="G698" s="306"/>
      <c r="H698" s="306"/>
      <c r="I698" s="306"/>
      <c r="J698" s="306"/>
      <c r="K698" s="306"/>
      <c r="L698" s="306"/>
      <c r="M698" s="306"/>
      <c r="N698" s="306"/>
      <c r="O698" s="306"/>
      <c r="P698" s="229"/>
      <c r="Q698" s="229"/>
    </row>
    <row r="699" spans="3:17" hidden="1" outlineLevel="1">
      <c r="C699" s="9"/>
      <c r="D699" s="52">
        <v>9</v>
      </c>
      <c r="E699" s="293" t="s">
        <v>212</v>
      </c>
      <c r="F699" s="55" t="s">
        <v>287</v>
      </c>
      <c r="G699" s="306"/>
      <c r="H699" s="229"/>
      <c r="I699" s="307"/>
      <c r="J699" s="229"/>
      <c r="K699" s="229"/>
      <c r="L699" s="229"/>
      <c r="M699" s="229"/>
      <c r="N699" s="229"/>
      <c r="O699" s="229"/>
      <c r="P699" s="229"/>
      <c r="Q699" s="229"/>
    </row>
    <row r="700" spans="3:17" hidden="1" outlineLevel="1">
      <c r="C700" s="9"/>
      <c r="D700" s="7">
        <v>10</v>
      </c>
      <c r="E700" s="310" t="s">
        <v>213</v>
      </c>
      <c r="F700" s="22"/>
      <c r="G700" s="12" t="str">
        <f>IFERROR(+G696/G698,"")</f>
        <v/>
      </c>
      <c r="H700" s="13" t="str">
        <f>IFERROR(+H696/H698,"")</f>
        <v/>
      </c>
      <c r="I700" s="16" t="str">
        <f t="shared" ref="I700:Q700" si="180">IFERROR(+I696/I698,"")</f>
        <v/>
      </c>
      <c r="J700" s="13" t="str">
        <f t="shared" si="180"/>
        <v/>
      </c>
      <c r="K700" s="13" t="str">
        <f t="shared" si="180"/>
        <v/>
      </c>
      <c r="L700" s="13" t="str">
        <f t="shared" si="180"/>
        <v/>
      </c>
      <c r="M700" s="13" t="str">
        <f t="shared" si="180"/>
        <v/>
      </c>
      <c r="N700" s="13" t="str">
        <f t="shared" si="180"/>
        <v/>
      </c>
      <c r="O700" s="13" t="str">
        <f t="shared" si="180"/>
        <v/>
      </c>
      <c r="P700" s="13" t="str">
        <f t="shared" si="180"/>
        <v/>
      </c>
      <c r="Q700" s="13" t="str">
        <f t="shared" si="180"/>
        <v/>
      </c>
    </row>
    <row r="701" spans="3:17" hidden="1" outlineLevel="1">
      <c r="C701" s="9"/>
      <c r="D701" s="7">
        <v>11</v>
      </c>
      <c r="E701" s="310" t="s">
        <v>214</v>
      </c>
      <c r="F701" s="22" t="s">
        <v>215</v>
      </c>
      <c r="G701" s="14"/>
      <c r="H701" s="48" t="str">
        <f t="shared" ref="H701:Q701" si="181">IFERROR((H700-G700)/G700,"")</f>
        <v/>
      </c>
      <c r="I701" s="49" t="str">
        <f t="shared" si="181"/>
        <v/>
      </c>
      <c r="J701" s="48" t="str">
        <f t="shared" si="181"/>
        <v/>
      </c>
      <c r="K701" s="48" t="str">
        <f>IFERROR((K700-J700)/J700,"")</f>
        <v/>
      </c>
      <c r="L701" s="48" t="str">
        <f t="shared" si="181"/>
        <v/>
      </c>
      <c r="M701" s="48" t="str">
        <f t="shared" si="181"/>
        <v/>
      </c>
      <c r="N701" s="48" t="str">
        <f t="shared" si="181"/>
        <v/>
      </c>
      <c r="O701" s="48" t="str">
        <f t="shared" si="181"/>
        <v/>
      </c>
      <c r="P701" s="48" t="str">
        <f t="shared" si="181"/>
        <v/>
      </c>
      <c r="Q701" s="48" t="str">
        <f t="shared" si="181"/>
        <v/>
      </c>
    </row>
    <row r="702" spans="3:17" hidden="1" outlineLevel="1">
      <c r="C702" s="9"/>
      <c r="D702" s="7">
        <v>12</v>
      </c>
      <c r="E702" s="310" t="s">
        <v>216</v>
      </c>
      <c r="F702" s="21"/>
      <c r="G702" s="70" t="str">
        <f t="shared" ref="G702:Q702" si="182">IFERROR(+G697/G699,"")</f>
        <v/>
      </c>
      <c r="H702" s="71" t="str">
        <f t="shared" si="182"/>
        <v/>
      </c>
      <c r="I702" s="71" t="str">
        <f t="shared" si="182"/>
        <v/>
      </c>
      <c r="J702" s="71" t="str">
        <f t="shared" si="182"/>
        <v/>
      </c>
      <c r="K702" s="71" t="str">
        <f t="shared" si="182"/>
        <v/>
      </c>
      <c r="L702" s="71" t="str">
        <f t="shared" si="182"/>
        <v/>
      </c>
      <c r="M702" s="71" t="str">
        <f t="shared" si="182"/>
        <v/>
      </c>
      <c r="N702" s="71" t="str">
        <f t="shared" si="182"/>
        <v/>
      </c>
      <c r="O702" s="71" t="str">
        <f t="shared" si="182"/>
        <v/>
      </c>
      <c r="P702" s="71" t="str">
        <f t="shared" si="182"/>
        <v/>
      </c>
      <c r="Q702" s="71" t="str">
        <f t="shared" si="182"/>
        <v/>
      </c>
    </row>
    <row r="703" spans="3:17" hidden="1" outlineLevel="1">
      <c r="D703" s="7">
        <v>13</v>
      </c>
      <c r="E703" s="310" t="s">
        <v>217</v>
      </c>
      <c r="F703" s="21" t="s">
        <v>218</v>
      </c>
      <c r="G703" s="14"/>
      <c r="H703" s="48" t="str">
        <f t="shared" ref="H703:Q703" si="183">IFERROR((H702-G702)/G702,"")</f>
        <v/>
      </c>
      <c r="I703" s="49" t="str">
        <f t="shared" si="183"/>
        <v/>
      </c>
      <c r="J703" s="48" t="str">
        <f t="shared" si="183"/>
        <v/>
      </c>
      <c r="K703" s="48" t="str">
        <f t="shared" si="183"/>
        <v/>
      </c>
      <c r="L703" s="48" t="str">
        <f t="shared" si="183"/>
        <v/>
      </c>
      <c r="M703" s="48" t="str">
        <f t="shared" si="183"/>
        <v/>
      </c>
      <c r="N703" s="48" t="str">
        <f t="shared" si="183"/>
        <v/>
      </c>
      <c r="O703" s="48" t="str">
        <f t="shared" si="183"/>
        <v/>
      </c>
      <c r="P703" s="48" t="str">
        <f t="shared" si="183"/>
        <v/>
      </c>
      <c r="Q703" s="48" t="str">
        <f t="shared" si="183"/>
        <v/>
      </c>
    </row>
    <row r="704" spans="3:17" collapsed="1">
      <c r="E704" s="314"/>
    </row>
    <row r="705" spans="2:17" ht="18.5" thickBot="1">
      <c r="B705" s="69"/>
      <c r="C705" s="46" t="s">
        <v>322</v>
      </c>
      <c r="D705" s="4"/>
      <c r="E705" s="308"/>
      <c r="F705" s="240" t="str">
        <f>IF(G706="","","折りたたまれたセルのグループ（非表示行）を展開して、入力項目を入力してください。")</f>
        <v/>
      </c>
      <c r="L705" s="51"/>
    </row>
    <row r="706" spans="2:17" ht="50.15" customHeight="1" thickBot="1">
      <c r="D706" s="128">
        <v>1</v>
      </c>
      <c r="E706" s="311" t="s">
        <v>275</v>
      </c>
      <c r="F706" s="129"/>
      <c r="G706" s="130" t="str">
        <f>IF($I$106="","",$I$106)</f>
        <v/>
      </c>
    </row>
    <row r="707" spans="2:17" hidden="1" outlineLevel="1">
      <c r="D707" s="52">
        <v>2</v>
      </c>
      <c r="E707" s="312" t="s">
        <v>292</v>
      </c>
      <c r="F707" s="57" t="s">
        <v>241</v>
      </c>
      <c r="G707" s="144"/>
    </row>
    <row r="708" spans="2:17" ht="33" hidden="1" outlineLevel="1">
      <c r="D708" s="52">
        <v>3</v>
      </c>
      <c r="E708" s="312" t="s">
        <v>277</v>
      </c>
      <c r="F708" s="30" t="s">
        <v>241</v>
      </c>
      <c r="G708" s="141"/>
      <c r="K708" s="375" t="s">
        <v>278</v>
      </c>
      <c r="L708" s="375"/>
      <c r="M708" s="375"/>
      <c r="N708" s="375"/>
      <c r="O708" s="196"/>
      <c r="P708" s="195" t="s">
        <v>279</v>
      </c>
      <c r="Q708" s="50" t="s">
        <v>280</v>
      </c>
    </row>
    <row r="709" spans="2:17" hidden="1" outlineLevel="1">
      <c r="D709" s="52">
        <v>4</v>
      </c>
      <c r="E709" s="293" t="s">
        <v>281</v>
      </c>
      <c r="F709" s="19" t="s">
        <v>241</v>
      </c>
      <c r="G709" s="141"/>
      <c r="H709" s="6"/>
      <c r="K709" s="375"/>
      <c r="L709" s="375"/>
      <c r="M709" s="375"/>
      <c r="N709" s="375"/>
      <c r="O709" s="125" t="s">
        <v>282</v>
      </c>
      <c r="P709" s="131" t="str">
        <f>IF(AND(COUNTA($G716:$Q716)&gt;0,SUMIF($G716:$Q716,"&lt;&gt;"&amp;"")=0),"－",IFERROR(((HLOOKUP(EDATE($F$13,36),$G713:$Q721,6,FALSE))/(HLOOKUP(EDATE($F$13,0),$G713:$Q721,6,FALSE)))^(1/3)-1,""))</f>
        <v/>
      </c>
      <c r="Q709" s="376">
        <v>4.4999999999999998E-2</v>
      </c>
    </row>
    <row r="710" spans="2:17" ht="36" hidden="1" outlineLevel="1">
      <c r="D710" s="52">
        <v>5</v>
      </c>
      <c r="E710" s="293" t="s">
        <v>283</v>
      </c>
      <c r="F710" s="19" t="s">
        <v>256</v>
      </c>
      <c r="G710" s="315"/>
      <c r="H710" s="6"/>
      <c r="K710" s="375"/>
      <c r="L710" s="375"/>
      <c r="M710" s="375"/>
      <c r="N710" s="375"/>
      <c r="O710" s="125" t="s">
        <v>284</v>
      </c>
      <c r="P710" s="125" t="str">
        <f>IF(AND(COUNTA($G717:$Q717)&gt;0,SUMIF($G717:$Q717,"&lt;&gt;"&amp;"")=0),"－",IFERROR(((HLOOKUP(EDATE($F$13,36),$G713:$Q721,8,FALSE))/(HLOOKUP(EDATE($F$13,0),$G713:$Q721,8,FALSE)))^(1/3)-1,""))</f>
        <v/>
      </c>
      <c r="Q710" s="377"/>
    </row>
    <row r="711" spans="2:17" hidden="1" outlineLevel="1">
      <c r="D711" s="35"/>
      <c r="E711" s="316" t="s">
        <v>257</v>
      </c>
      <c r="F711" s="34"/>
      <c r="G711" s="1" t="s">
        <v>179</v>
      </c>
    </row>
    <row r="712" spans="2:17" hidden="1" outlineLevel="1">
      <c r="E712" s="308"/>
      <c r="G712" s="64" t="s">
        <v>181</v>
      </c>
      <c r="H712" s="64" t="s">
        <v>182</v>
      </c>
      <c r="I712" s="64" t="s">
        <v>183</v>
      </c>
      <c r="J712" s="132" t="s">
        <v>184</v>
      </c>
      <c r="K712" s="132"/>
      <c r="L712" s="132"/>
      <c r="M712" s="132"/>
      <c r="N712" s="132"/>
      <c r="O712" s="132"/>
      <c r="P712" s="132"/>
      <c r="Q712" s="132"/>
    </row>
    <row r="713" spans="2:17" hidden="1" outlineLevel="1">
      <c r="D713" s="11"/>
      <c r="E713" s="206"/>
      <c r="F713" s="56"/>
      <c r="G713" s="63" t="str">
        <f>IF($I713="","",EDATE(H713,-12))</f>
        <v/>
      </c>
      <c r="H713" s="63" t="str">
        <f>IF($I713="","",EDATE(I713,-12))</f>
        <v/>
      </c>
      <c r="I713" s="63" t="str">
        <f>IF($I$12="","",$I$12)</f>
        <v/>
      </c>
      <c r="J713" s="63" t="str">
        <f t="shared" ref="J713:Q713" si="184">IF($I713="","",EDATE(I713,12))</f>
        <v/>
      </c>
      <c r="K713" s="63" t="str">
        <f t="shared" si="184"/>
        <v/>
      </c>
      <c r="L713" s="63" t="str">
        <f t="shared" si="184"/>
        <v/>
      </c>
      <c r="M713" s="63" t="str">
        <f t="shared" si="184"/>
        <v/>
      </c>
      <c r="N713" s="63" t="str">
        <f t="shared" si="184"/>
        <v/>
      </c>
      <c r="O713" s="63" t="str">
        <f t="shared" si="184"/>
        <v/>
      </c>
      <c r="P713" s="63" t="str">
        <f t="shared" si="184"/>
        <v/>
      </c>
      <c r="Q713" s="63" t="str">
        <f t="shared" si="184"/>
        <v/>
      </c>
    </row>
    <row r="714" spans="2:17" hidden="1" outlineLevel="1">
      <c r="D714" s="52">
        <v>6</v>
      </c>
      <c r="E714" s="293" t="s">
        <v>206</v>
      </c>
      <c r="F714" s="55"/>
      <c r="G714" s="138"/>
      <c r="H714" s="138"/>
      <c r="I714" s="138"/>
      <c r="J714" s="138"/>
      <c r="K714" s="138"/>
      <c r="L714" s="138"/>
      <c r="M714" s="138"/>
      <c r="N714" s="138"/>
      <c r="O714" s="138"/>
      <c r="P714" s="106"/>
      <c r="Q714" s="106"/>
    </row>
    <row r="715" spans="2:17" hidden="1" outlineLevel="1">
      <c r="C715" s="9"/>
      <c r="D715" s="52">
        <v>7</v>
      </c>
      <c r="E715" s="293" t="s">
        <v>207</v>
      </c>
      <c r="F715" s="55"/>
      <c r="G715" s="138"/>
      <c r="H715" s="106"/>
      <c r="I715" s="139"/>
      <c r="J715" s="106"/>
      <c r="K715" s="106"/>
      <c r="L715" s="154"/>
      <c r="M715" s="106"/>
      <c r="N715" s="106"/>
      <c r="O715" s="106"/>
      <c r="P715" s="106"/>
      <c r="Q715" s="106"/>
    </row>
    <row r="716" spans="2:17" hidden="1" outlineLevel="1">
      <c r="C716" s="9"/>
      <c r="D716" s="5">
        <v>8</v>
      </c>
      <c r="E716" s="303" t="s">
        <v>210</v>
      </c>
      <c r="F716" s="20" t="s">
        <v>211</v>
      </c>
      <c r="G716" s="306"/>
      <c r="H716" s="306"/>
      <c r="I716" s="306"/>
      <c r="J716" s="306"/>
      <c r="K716" s="306"/>
      <c r="L716" s="306"/>
      <c r="M716" s="306"/>
      <c r="N716" s="306"/>
      <c r="O716" s="306"/>
      <c r="P716" s="229"/>
      <c r="Q716" s="229"/>
    </row>
    <row r="717" spans="2:17" hidden="1" outlineLevel="1">
      <c r="C717" s="9"/>
      <c r="D717" s="52">
        <v>9</v>
      </c>
      <c r="E717" s="293" t="s">
        <v>212</v>
      </c>
      <c r="F717" s="55" t="s">
        <v>287</v>
      </c>
      <c r="G717" s="306"/>
      <c r="H717" s="229"/>
      <c r="I717" s="307"/>
      <c r="J717" s="229"/>
      <c r="K717" s="229"/>
      <c r="L717" s="229"/>
      <c r="M717" s="229"/>
      <c r="N717" s="229"/>
      <c r="O717" s="229"/>
      <c r="P717" s="229"/>
      <c r="Q717" s="229"/>
    </row>
    <row r="718" spans="2:17" hidden="1" outlineLevel="1">
      <c r="C718" s="9"/>
      <c r="D718" s="7">
        <v>10</v>
      </c>
      <c r="E718" s="310" t="s">
        <v>213</v>
      </c>
      <c r="F718" s="22"/>
      <c r="G718" s="12" t="str">
        <f>IFERROR(+G714/G716,"")</f>
        <v/>
      </c>
      <c r="H718" s="13" t="str">
        <f>IFERROR(+H714/H716,"")</f>
        <v/>
      </c>
      <c r="I718" s="16" t="str">
        <f t="shared" ref="I718:Q718" si="185">IFERROR(+I714/I716,"")</f>
        <v/>
      </c>
      <c r="J718" s="13" t="str">
        <f t="shared" si="185"/>
        <v/>
      </c>
      <c r="K718" s="13" t="str">
        <f t="shared" si="185"/>
        <v/>
      </c>
      <c r="L718" s="13" t="str">
        <f t="shared" si="185"/>
        <v/>
      </c>
      <c r="M718" s="13" t="str">
        <f t="shared" si="185"/>
        <v/>
      </c>
      <c r="N718" s="13" t="str">
        <f t="shared" si="185"/>
        <v/>
      </c>
      <c r="O718" s="13" t="str">
        <f t="shared" si="185"/>
        <v/>
      </c>
      <c r="P718" s="13" t="str">
        <f t="shared" si="185"/>
        <v/>
      </c>
      <c r="Q718" s="13" t="str">
        <f t="shared" si="185"/>
        <v/>
      </c>
    </row>
    <row r="719" spans="2:17" hidden="1" outlineLevel="1">
      <c r="C719" s="9"/>
      <c r="D719" s="7">
        <v>11</v>
      </c>
      <c r="E719" s="310" t="s">
        <v>214</v>
      </c>
      <c r="F719" s="22" t="s">
        <v>215</v>
      </c>
      <c r="G719" s="14"/>
      <c r="H719" s="48" t="str">
        <f t="shared" ref="H719:Q719" si="186">IFERROR((H718-G718)/G718,"")</f>
        <v/>
      </c>
      <c r="I719" s="49" t="str">
        <f t="shared" si="186"/>
        <v/>
      </c>
      <c r="J719" s="48" t="str">
        <f t="shared" si="186"/>
        <v/>
      </c>
      <c r="K719" s="48" t="str">
        <f>IFERROR((K718-J718)/J718,"")</f>
        <v/>
      </c>
      <c r="L719" s="48" t="str">
        <f t="shared" si="186"/>
        <v/>
      </c>
      <c r="M719" s="48" t="str">
        <f t="shared" si="186"/>
        <v/>
      </c>
      <c r="N719" s="48" t="str">
        <f t="shared" si="186"/>
        <v/>
      </c>
      <c r="O719" s="48" t="str">
        <f t="shared" si="186"/>
        <v/>
      </c>
      <c r="P719" s="48" t="str">
        <f t="shared" si="186"/>
        <v/>
      </c>
      <c r="Q719" s="48" t="str">
        <f t="shared" si="186"/>
        <v/>
      </c>
    </row>
    <row r="720" spans="2:17" hidden="1" outlineLevel="1">
      <c r="C720" s="9"/>
      <c r="D720" s="7">
        <v>12</v>
      </c>
      <c r="E720" s="310" t="s">
        <v>216</v>
      </c>
      <c r="F720" s="21"/>
      <c r="G720" s="70" t="str">
        <f t="shared" ref="G720:Q720" si="187">IFERROR(+G715/G717,"")</f>
        <v/>
      </c>
      <c r="H720" s="71" t="str">
        <f t="shared" si="187"/>
        <v/>
      </c>
      <c r="I720" s="71" t="str">
        <f t="shared" si="187"/>
        <v/>
      </c>
      <c r="J720" s="71" t="str">
        <f t="shared" si="187"/>
        <v/>
      </c>
      <c r="K720" s="71" t="str">
        <f t="shared" si="187"/>
        <v/>
      </c>
      <c r="L720" s="71" t="str">
        <f t="shared" si="187"/>
        <v/>
      </c>
      <c r="M720" s="71" t="str">
        <f t="shared" si="187"/>
        <v/>
      </c>
      <c r="N720" s="71" t="str">
        <f t="shared" si="187"/>
        <v/>
      </c>
      <c r="O720" s="71" t="str">
        <f t="shared" si="187"/>
        <v/>
      </c>
      <c r="P720" s="71" t="str">
        <f t="shared" si="187"/>
        <v/>
      </c>
      <c r="Q720" s="71" t="str">
        <f t="shared" si="187"/>
        <v/>
      </c>
    </row>
    <row r="721" spans="2:17" hidden="1" outlineLevel="1">
      <c r="D721" s="7">
        <v>13</v>
      </c>
      <c r="E721" s="310" t="s">
        <v>217</v>
      </c>
      <c r="F721" s="21" t="s">
        <v>218</v>
      </c>
      <c r="G721" s="14"/>
      <c r="H721" s="48" t="str">
        <f t="shared" ref="H721:Q721" si="188">IFERROR((H720-G720)/G720,"")</f>
        <v/>
      </c>
      <c r="I721" s="49" t="str">
        <f t="shared" si="188"/>
        <v/>
      </c>
      <c r="J721" s="48" t="str">
        <f t="shared" si="188"/>
        <v/>
      </c>
      <c r="K721" s="48" t="str">
        <f t="shared" si="188"/>
        <v/>
      </c>
      <c r="L721" s="48" t="str">
        <f t="shared" si="188"/>
        <v/>
      </c>
      <c r="M721" s="48" t="str">
        <f t="shared" si="188"/>
        <v/>
      </c>
      <c r="N721" s="48" t="str">
        <f t="shared" si="188"/>
        <v/>
      </c>
      <c r="O721" s="48" t="str">
        <f t="shared" si="188"/>
        <v/>
      </c>
      <c r="P721" s="48" t="str">
        <f t="shared" si="188"/>
        <v/>
      </c>
      <c r="Q721" s="48" t="str">
        <f t="shared" si="188"/>
        <v/>
      </c>
    </row>
    <row r="722" spans="2:17" collapsed="1">
      <c r="E722" s="314"/>
    </row>
    <row r="723" spans="2:17" ht="18.5" thickBot="1">
      <c r="B723" s="69"/>
      <c r="C723" s="46" t="s">
        <v>323</v>
      </c>
      <c r="D723" s="4"/>
      <c r="E723" s="308"/>
      <c r="F723" s="240" t="str">
        <f>IF(G724="","","折りたたまれたセルのグループ（非表示行）を展開して、入力項目を入力してください。")</f>
        <v/>
      </c>
      <c r="L723" s="51"/>
    </row>
    <row r="724" spans="2:17" ht="50.15" customHeight="1" thickBot="1">
      <c r="D724" s="128">
        <v>1</v>
      </c>
      <c r="E724" s="311" t="s">
        <v>275</v>
      </c>
      <c r="F724" s="129"/>
      <c r="G724" s="130" t="str">
        <f>IF($J$106="","",$J$106)</f>
        <v/>
      </c>
    </row>
    <row r="725" spans="2:17" hidden="1" outlineLevel="1">
      <c r="D725" s="52">
        <v>2</v>
      </c>
      <c r="E725" s="312" t="s">
        <v>292</v>
      </c>
      <c r="F725" s="57" t="s">
        <v>241</v>
      </c>
      <c r="G725" s="144"/>
    </row>
    <row r="726" spans="2:17" ht="33" hidden="1" outlineLevel="1">
      <c r="D726" s="52">
        <v>3</v>
      </c>
      <c r="E726" s="312" t="s">
        <v>277</v>
      </c>
      <c r="F726" s="30" t="s">
        <v>241</v>
      </c>
      <c r="G726" s="141"/>
      <c r="K726" s="375" t="s">
        <v>278</v>
      </c>
      <c r="L726" s="375"/>
      <c r="M726" s="375"/>
      <c r="N726" s="375"/>
      <c r="O726" s="196"/>
      <c r="P726" s="195" t="s">
        <v>279</v>
      </c>
      <c r="Q726" s="50" t="s">
        <v>280</v>
      </c>
    </row>
    <row r="727" spans="2:17" hidden="1" outlineLevel="1">
      <c r="D727" s="52">
        <v>4</v>
      </c>
      <c r="E727" s="293" t="s">
        <v>281</v>
      </c>
      <c r="F727" s="19" t="s">
        <v>241</v>
      </c>
      <c r="G727" s="141"/>
      <c r="H727" s="6"/>
      <c r="K727" s="375"/>
      <c r="L727" s="375"/>
      <c r="M727" s="375"/>
      <c r="N727" s="375"/>
      <c r="O727" s="125" t="s">
        <v>282</v>
      </c>
      <c r="P727" s="131" t="str">
        <f>IF(AND(COUNTA($G734:$Q734)&gt;0,SUMIF($G734:$Q734,"&lt;&gt;"&amp;"")=0),"－",IFERROR(((HLOOKUP(EDATE($F$13,36),$G731:$Q739,6,FALSE))/(HLOOKUP(EDATE($F$13,0),$G731:$Q739,6,FALSE)))^(1/3)-1,""))</f>
        <v/>
      </c>
      <c r="Q727" s="376">
        <v>4.4999999999999998E-2</v>
      </c>
    </row>
    <row r="728" spans="2:17" ht="36" hidden="1" outlineLevel="1">
      <c r="D728" s="52">
        <v>5</v>
      </c>
      <c r="E728" s="293" t="s">
        <v>283</v>
      </c>
      <c r="F728" s="19" t="s">
        <v>256</v>
      </c>
      <c r="G728" s="315"/>
      <c r="H728" s="6"/>
      <c r="K728" s="375"/>
      <c r="L728" s="375"/>
      <c r="M728" s="375"/>
      <c r="N728" s="375"/>
      <c r="O728" s="125" t="s">
        <v>284</v>
      </c>
      <c r="P728" s="125" t="str">
        <f>IF(AND(COUNTA($G735:$Q735)&gt;0,SUMIF($G735:$Q735,"&lt;&gt;"&amp;"")=0),"－",IFERROR(((HLOOKUP(EDATE($F$13,36),$G731:$Q739,8,FALSE))/(HLOOKUP(EDATE($F$13,0),$G731:$Q739,8,FALSE)))^(1/3)-1,""))</f>
        <v/>
      </c>
      <c r="Q728" s="377"/>
    </row>
    <row r="729" spans="2:17" hidden="1" outlineLevel="1">
      <c r="D729" s="35"/>
      <c r="E729" s="316" t="s">
        <v>257</v>
      </c>
      <c r="F729" s="34"/>
      <c r="G729" s="1" t="s">
        <v>179</v>
      </c>
    </row>
    <row r="730" spans="2:17" hidden="1" outlineLevel="1">
      <c r="E730" s="308"/>
      <c r="G730" s="64" t="s">
        <v>181</v>
      </c>
      <c r="H730" s="64" t="s">
        <v>182</v>
      </c>
      <c r="I730" s="64" t="s">
        <v>183</v>
      </c>
      <c r="J730" s="132" t="s">
        <v>184</v>
      </c>
      <c r="K730" s="132"/>
      <c r="L730" s="132"/>
      <c r="M730" s="132"/>
      <c r="N730" s="132"/>
      <c r="O730" s="132"/>
      <c r="P730" s="132"/>
      <c r="Q730" s="132"/>
    </row>
    <row r="731" spans="2:17" hidden="1" outlineLevel="1">
      <c r="D731" s="11"/>
      <c r="E731" s="206"/>
      <c r="F731" s="56"/>
      <c r="G731" s="63" t="str">
        <f>IF($I731="","",EDATE(H731,-12))</f>
        <v/>
      </c>
      <c r="H731" s="63" t="str">
        <f>IF($I731="","",EDATE(I731,-12))</f>
        <v/>
      </c>
      <c r="I731" s="63" t="str">
        <f>IF($I$12="","",$I$12)</f>
        <v/>
      </c>
      <c r="J731" s="63" t="str">
        <f t="shared" ref="J731:Q731" si="189">IF($I731="","",EDATE(I731,12))</f>
        <v/>
      </c>
      <c r="K731" s="63" t="str">
        <f t="shared" si="189"/>
        <v/>
      </c>
      <c r="L731" s="63" t="str">
        <f t="shared" si="189"/>
        <v/>
      </c>
      <c r="M731" s="63" t="str">
        <f t="shared" si="189"/>
        <v/>
      </c>
      <c r="N731" s="63" t="str">
        <f t="shared" si="189"/>
        <v/>
      </c>
      <c r="O731" s="63" t="str">
        <f t="shared" si="189"/>
        <v/>
      </c>
      <c r="P731" s="63" t="str">
        <f t="shared" si="189"/>
        <v/>
      </c>
      <c r="Q731" s="63" t="str">
        <f t="shared" si="189"/>
        <v/>
      </c>
    </row>
    <row r="732" spans="2:17" hidden="1" outlineLevel="1">
      <c r="D732" s="52">
        <v>6</v>
      </c>
      <c r="E732" s="293" t="s">
        <v>206</v>
      </c>
      <c r="F732" s="55"/>
      <c r="G732" s="138"/>
      <c r="H732" s="138"/>
      <c r="I732" s="138"/>
      <c r="J732" s="138"/>
      <c r="K732" s="138"/>
      <c r="L732" s="138"/>
      <c r="M732" s="138"/>
      <c r="N732" s="138"/>
      <c r="O732" s="138"/>
      <c r="P732" s="106"/>
      <c r="Q732" s="106"/>
    </row>
    <row r="733" spans="2:17" hidden="1" outlineLevel="1">
      <c r="C733" s="9"/>
      <c r="D733" s="52">
        <v>7</v>
      </c>
      <c r="E733" s="293" t="s">
        <v>207</v>
      </c>
      <c r="F733" s="55"/>
      <c r="G733" s="138"/>
      <c r="H733" s="106"/>
      <c r="I733" s="139"/>
      <c r="J733" s="106"/>
      <c r="K733" s="106"/>
      <c r="L733" s="154"/>
      <c r="M733" s="106"/>
      <c r="N733" s="106"/>
      <c r="O733" s="106"/>
      <c r="P733" s="106"/>
      <c r="Q733" s="106"/>
    </row>
    <row r="734" spans="2:17" hidden="1" outlineLevel="1">
      <c r="C734" s="9"/>
      <c r="D734" s="5">
        <v>8</v>
      </c>
      <c r="E734" s="303" t="s">
        <v>210</v>
      </c>
      <c r="F734" s="20" t="s">
        <v>211</v>
      </c>
      <c r="G734" s="306"/>
      <c r="H734" s="306"/>
      <c r="I734" s="306"/>
      <c r="J734" s="306"/>
      <c r="K734" s="306"/>
      <c r="L734" s="306"/>
      <c r="M734" s="306"/>
      <c r="N734" s="306"/>
      <c r="O734" s="306"/>
      <c r="P734" s="229"/>
      <c r="Q734" s="229"/>
    </row>
    <row r="735" spans="2:17" hidden="1" outlineLevel="1">
      <c r="C735" s="9"/>
      <c r="D735" s="52">
        <v>9</v>
      </c>
      <c r="E735" s="293" t="s">
        <v>212</v>
      </c>
      <c r="F735" s="55" t="s">
        <v>287</v>
      </c>
      <c r="G735" s="306"/>
      <c r="H735" s="229"/>
      <c r="I735" s="307"/>
      <c r="J735" s="229"/>
      <c r="K735" s="229"/>
      <c r="L735" s="229"/>
      <c r="M735" s="229"/>
      <c r="N735" s="229"/>
      <c r="O735" s="229"/>
      <c r="P735" s="229"/>
      <c r="Q735" s="229"/>
    </row>
    <row r="736" spans="2:17" hidden="1" outlineLevel="1">
      <c r="C736" s="9"/>
      <c r="D736" s="7">
        <v>10</v>
      </c>
      <c r="E736" s="310" t="s">
        <v>213</v>
      </c>
      <c r="F736" s="22"/>
      <c r="G736" s="12" t="str">
        <f>IFERROR(+G732/G734,"")</f>
        <v/>
      </c>
      <c r="H736" s="13" t="str">
        <f>IFERROR(+H732/H734,"")</f>
        <v/>
      </c>
      <c r="I736" s="16" t="str">
        <f t="shared" ref="I736:Q736" si="190">IFERROR(+I732/I734,"")</f>
        <v/>
      </c>
      <c r="J736" s="13" t="str">
        <f t="shared" si="190"/>
        <v/>
      </c>
      <c r="K736" s="13" t="str">
        <f t="shared" si="190"/>
        <v/>
      </c>
      <c r="L736" s="13" t="str">
        <f t="shared" si="190"/>
        <v/>
      </c>
      <c r="M736" s="13" t="str">
        <f t="shared" si="190"/>
        <v/>
      </c>
      <c r="N736" s="13" t="str">
        <f t="shared" si="190"/>
        <v/>
      </c>
      <c r="O736" s="13" t="str">
        <f t="shared" si="190"/>
        <v/>
      </c>
      <c r="P736" s="13" t="str">
        <f t="shared" si="190"/>
        <v/>
      </c>
      <c r="Q736" s="13" t="str">
        <f t="shared" si="190"/>
        <v/>
      </c>
    </row>
    <row r="737" spans="2:17" hidden="1" outlineLevel="1">
      <c r="C737" s="9"/>
      <c r="D737" s="7">
        <v>11</v>
      </c>
      <c r="E737" s="310" t="s">
        <v>214</v>
      </c>
      <c r="F737" s="22" t="s">
        <v>215</v>
      </c>
      <c r="G737" s="14"/>
      <c r="H737" s="48" t="str">
        <f t="shared" ref="H737:Q737" si="191">IFERROR((H736-G736)/G736,"")</f>
        <v/>
      </c>
      <c r="I737" s="49" t="str">
        <f t="shared" si="191"/>
        <v/>
      </c>
      <c r="J737" s="48" t="str">
        <f t="shared" si="191"/>
        <v/>
      </c>
      <c r="K737" s="48" t="str">
        <f>IFERROR((K736-J736)/J736,"")</f>
        <v/>
      </c>
      <c r="L737" s="48" t="str">
        <f t="shared" si="191"/>
        <v/>
      </c>
      <c r="M737" s="48" t="str">
        <f t="shared" si="191"/>
        <v/>
      </c>
      <c r="N737" s="48" t="str">
        <f t="shared" si="191"/>
        <v/>
      </c>
      <c r="O737" s="48" t="str">
        <f t="shared" si="191"/>
        <v/>
      </c>
      <c r="P737" s="48" t="str">
        <f t="shared" si="191"/>
        <v/>
      </c>
      <c r="Q737" s="48" t="str">
        <f t="shared" si="191"/>
        <v/>
      </c>
    </row>
    <row r="738" spans="2:17" hidden="1" outlineLevel="1">
      <c r="C738" s="9"/>
      <c r="D738" s="7">
        <v>12</v>
      </c>
      <c r="E738" s="310" t="s">
        <v>216</v>
      </c>
      <c r="F738" s="21"/>
      <c r="G738" s="70" t="str">
        <f t="shared" ref="G738:Q738" si="192">IFERROR(+G733/G735,"")</f>
        <v/>
      </c>
      <c r="H738" s="71" t="str">
        <f t="shared" si="192"/>
        <v/>
      </c>
      <c r="I738" s="71" t="str">
        <f t="shared" si="192"/>
        <v/>
      </c>
      <c r="J738" s="71" t="str">
        <f t="shared" si="192"/>
        <v/>
      </c>
      <c r="K738" s="71" t="str">
        <f t="shared" si="192"/>
        <v/>
      </c>
      <c r="L738" s="71" t="str">
        <f t="shared" si="192"/>
        <v/>
      </c>
      <c r="M738" s="71" t="str">
        <f t="shared" si="192"/>
        <v/>
      </c>
      <c r="N738" s="71" t="str">
        <f t="shared" si="192"/>
        <v/>
      </c>
      <c r="O738" s="71" t="str">
        <f t="shared" si="192"/>
        <v/>
      </c>
      <c r="P738" s="71" t="str">
        <f t="shared" si="192"/>
        <v/>
      </c>
      <c r="Q738" s="71" t="str">
        <f t="shared" si="192"/>
        <v/>
      </c>
    </row>
    <row r="739" spans="2:17" hidden="1" outlineLevel="1">
      <c r="D739" s="7">
        <v>13</v>
      </c>
      <c r="E739" s="310" t="s">
        <v>217</v>
      </c>
      <c r="F739" s="21" t="s">
        <v>218</v>
      </c>
      <c r="G739" s="14"/>
      <c r="H739" s="48" t="str">
        <f t="shared" ref="H739:Q739" si="193">IFERROR((H738-G738)/G738,"")</f>
        <v/>
      </c>
      <c r="I739" s="49" t="str">
        <f t="shared" si="193"/>
        <v/>
      </c>
      <c r="J739" s="48" t="str">
        <f t="shared" si="193"/>
        <v/>
      </c>
      <c r="K739" s="48" t="str">
        <f t="shared" si="193"/>
        <v/>
      </c>
      <c r="L739" s="48" t="str">
        <f t="shared" si="193"/>
        <v/>
      </c>
      <c r="M739" s="48" t="str">
        <f t="shared" si="193"/>
        <v/>
      </c>
      <c r="N739" s="48" t="str">
        <f t="shared" si="193"/>
        <v/>
      </c>
      <c r="O739" s="48" t="str">
        <f t="shared" si="193"/>
        <v/>
      </c>
      <c r="P739" s="48" t="str">
        <f t="shared" si="193"/>
        <v/>
      </c>
      <c r="Q739" s="48" t="str">
        <f t="shared" si="193"/>
        <v/>
      </c>
    </row>
    <row r="740" spans="2:17" collapsed="1">
      <c r="E740" s="314"/>
    </row>
    <row r="741" spans="2:17" ht="18.5" thickBot="1">
      <c r="B741" s="69"/>
      <c r="C741" s="46" t="s">
        <v>324</v>
      </c>
      <c r="D741" s="4"/>
      <c r="E741" s="308"/>
      <c r="F741" s="240" t="str">
        <f>IF(G742="","","折りたたまれたセルのグループ（非表示行）を展開して、入力項目を入力してください。")</f>
        <v/>
      </c>
      <c r="L741" s="51"/>
    </row>
    <row r="742" spans="2:17" ht="50.15" customHeight="1" thickBot="1">
      <c r="D742" s="128">
        <v>1</v>
      </c>
      <c r="E742" s="311" t="s">
        <v>275</v>
      </c>
      <c r="F742" s="129"/>
      <c r="G742" s="130" t="str">
        <f>IF($K$106="","",$K$106)</f>
        <v/>
      </c>
    </row>
    <row r="743" spans="2:17" hidden="1" outlineLevel="1">
      <c r="D743" s="52">
        <v>2</v>
      </c>
      <c r="E743" s="312" t="s">
        <v>292</v>
      </c>
      <c r="F743" s="57" t="s">
        <v>241</v>
      </c>
      <c r="G743" s="144"/>
    </row>
    <row r="744" spans="2:17" ht="33" hidden="1" outlineLevel="1">
      <c r="D744" s="52">
        <v>3</v>
      </c>
      <c r="E744" s="312" t="s">
        <v>277</v>
      </c>
      <c r="F744" s="30" t="s">
        <v>241</v>
      </c>
      <c r="G744" s="141"/>
      <c r="K744" s="375" t="s">
        <v>278</v>
      </c>
      <c r="L744" s="375"/>
      <c r="M744" s="375"/>
      <c r="N744" s="375"/>
      <c r="O744" s="196"/>
      <c r="P744" s="195" t="s">
        <v>279</v>
      </c>
      <c r="Q744" s="50" t="s">
        <v>280</v>
      </c>
    </row>
    <row r="745" spans="2:17" hidden="1" outlineLevel="1">
      <c r="D745" s="52">
        <v>4</v>
      </c>
      <c r="E745" s="293" t="s">
        <v>281</v>
      </c>
      <c r="F745" s="19" t="s">
        <v>241</v>
      </c>
      <c r="G745" s="141"/>
      <c r="H745" s="6"/>
      <c r="K745" s="375"/>
      <c r="L745" s="375"/>
      <c r="M745" s="375"/>
      <c r="N745" s="375"/>
      <c r="O745" s="125" t="s">
        <v>282</v>
      </c>
      <c r="P745" s="131" t="str">
        <f>IF(AND(COUNTA($G752:$Q752)&gt;0,SUMIF($G752:$Q752,"&lt;&gt;"&amp;"")=0),"－",IFERROR(((HLOOKUP(EDATE($F$13,36),$G749:$Q757,6,FALSE))/(HLOOKUP(EDATE($F$13,0),$G749:$Q757,6,FALSE)))^(1/3)-1,""))</f>
        <v/>
      </c>
      <c r="Q745" s="376">
        <v>4.4999999999999998E-2</v>
      </c>
    </row>
    <row r="746" spans="2:17" ht="36" hidden="1" outlineLevel="1">
      <c r="D746" s="52">
        <v>5</v>
      </c>
      <c r="E746" s="293" t="s">
        <v>283</v>
      </c>
      <c r="F746" s="19" t="s">
        <v>256</v>
      </c>
      <c r="G746" s="315"/>
      <c r="H746" s="6"/>
      <c r="K746" s="375"/>
      <c r="L746" s="375"/>
      <c r="M746" s="375"/>
      <c r="N746" s="375"/>
      <c r="O746" s="125" t="s">
        <v>284</v>
      </c>
      <c r="P746" s="125" t="str">
        <f>IF(AND(COUNTA($G753:$Q753)&gt;0,SUMIF($G753:$Q753,"&lt;&gt;"&amp;"")=0),"－",IFERROR(((HLOOKUP(EDATE($F$13,36),$G749:$Q757,8,FALSE))/(HLOOKUP(EDATE($F$13,0),$G749:$Q757,8,FALSE)))^(1/3)-1,""))</f>
        <v/>
      </c>
      <c r="Q746" s="377"/>
    </row>
    <row r="747" spans="2:17" hidden="1" outlineLevel="1">
      <c r="D747" s="35"/>
      <c r="E747" s="316" t="s">
        <v>257</v>
      </c>
      <c r="F747" s="34"/>
      <c r="G747" s="1" t="s">
        <v>179</v>
      </c>
    </row>
    <row r="748" spans="2:17" hidden="1" outlineLevel="1">
      <c r="E748" s="308"/>
      <c r="G748" s="64" t="s">
        <v>181</v>
      </c>
      <c r="H748" s="64" t="s">
        <v>182</v>
      </c>
      <c r="I748" s="64" t="s">
        <v>183</v>
      </c>
      <c r="J748" s="132" t="s">
        <v>184</v>
      </c>
      <c r="K748" s="132"/>
      <c r="L748" s="132"/>
      <c r="M748" s="132"/>
      <c r="N748" s="132"/>
      <c r="O748" s="132"/>
      <c r="P748" s="132"/>
      <c r="Q748" s="132"/>
    </row>
    <row r="749" spans="2:17" hidden="1" outlineLevel="1">
      <c r="D749" s="11"/>
      <c r="E749" s="206"/>
      <c r="F749" s="56"/>
      <c r="G749" s="63" t="str">
        <f>IF($I749="","",EDATE(H749,-12))</f>
        <v/>
      </c>
      <c r="H749" s="63" t="str">
        <f>IF($I749="","",EDATE(I749,-12))</f>
        <v/>
      </c>
      <c r="I749" s="63" t="str">
        <f>IF($I$12="","",$I$12)</f>
        <v/>
      </c>
      <c r="J749" s="63" t="str">
        <f t="shared" ref="J749:Q749" si="194">IF($I749="","",EDATE(I749,12))</f>
        <v/>
      </c>
      <c r="K749" s="63" t="str">
        <f t="shared" si="194"/>
        <v/>
      </c>
      <c r="L749" s="63" t="str">
        <f t="shared" si="194"/>
        <v/>
      </c>
      <c r="M749" s="63" t="str">
        <f t="shared" si="194"/>
        <v/>
      </c>
      <c r="N749" s="63" t="str">
        <f t="shared" si="194"/>
        <v/>
      </c>
      <c r="O749" s="63" t="str">
        <f t="shared" si="194"/>
        <v/>
      </c>
      <c r="P749" s="63" t="str">
        <f t="shared" si="194"/>
        <v/>
      </c>
      <c r="Q749" s="63" t="str">
        <f t="shared" si="194"/>
        <v/>
      </c>
    </row>
    <row r="750" spans="2:17" hidden="1" outlineLevel="1">
      <c r="D750" s="52">
        <v>6</v>
      </c>
      <c r="E750" s="293" t="s">
        <v>206</v>
      </c>
      <c r="F750" s="55"/>
      <c r="G750" s="138"/>
      <c r="H750" s="138"/>
      <c r="I750" s="138"/>
      <c r="J750" s="138"/>
      <c r="K750" s="138"/>
      <c r="L750" s="138"/>
      <c r="M750" s="138"/>
      <c r="N750" s="138"/>
      <c r="O750" s="138"/>
      <c r="P750" s="106"/>
      <c r="Q750" s="106"/>
    </row>
    <row r="751" spans="2:17" hidden="1" outlineLevel="1">
      <c r="C751" s="9"/>
      <c r="D751" s="52">
        <v>7</v>
      </c>
      <c r="E751" s="293" t="s">
        <v>207</v>
      </c>
      <c r="F751" s="55"/>
      <c r="G751" s="138"/>
      <c r="H751" s="106"/>
      <c r="I751" s="139"/>
      <c r="J751" s="106"/>
      <c r="K751" s="106"/>
      <c r="L751" s="154"/>
      <c r="M751" s="106"/>
      <c r="N751" s="106"/>
      <c r="O751" s="106"/>
      <c r="P751" s="106"/>
      <c r="Q751" s="106"/>
    </row>
    <row r="752" spans="2:17" hidden="1" outlineLevel="1">
      <c r="C752" s="9"/>
      <c r="D752" s="5">
        <v>8</v>
      </c>
      <c r="E752" s="303" t="s">
        <v>210</v>
      </c>
      <c r="F752" s="20" t="s">
        <v>211</v>
      </c>
      <c r="G752" s="306"/>
      <c r="H752" s="306"/>
      <c r="I752" s="306"/>
      <c r="J752" s="306"/>
      <c r="K752" s="306"/>
      <c r="L752" s="306"/>
      <c r="M752" s="306"/>
      <c r="N752" s="306"/>
      <c r="O752" s="306"/>
      <c r="P752" s="229"/>
      <c r="Q752" s="229"/>
    </row>
    <row r="753" spans="2:17" hidden="1" outlineLevel="1">
      <c r="C753" s="9"/>
      <c r="D753" s="52">
        <v>9</v>
      </c>
      <c r="E753" s="293" t="s">
        <v>212</v>
      </c>
      <c r="F753" s="55" t="s">
        <v>287</v>
      </c>
      <c r="G753" s="306"/>
      <c r="H753" s="229"/>
      <c r="I753" s="307"/>
      <c r="J753" s="229"/>
      <c r="K753" s="229"/>
      <c r="L753" s="229"/>
      <c r="M753" s="229"/>
      <c r="N753" s="229"/>
      <c r="O753" s="229"/>
      <c r="P753" s="229"/>
      <c r="Q753" s="229"/>
    </row>
    <row r="754" spans="2:17" hidden="1" outlineLevel="1">
      <c r="C754" s="9"/>
      <c r="D754" s="7">
        <v>10</v>
      </c>
      <c r="E754" s="310" t="s">
        <v>213</v>
      </c>
      <c r="F754" s="22"/>
      <c r="G754" s="12" t="str">
        <f>IFERROR(+G750/G752,"")</f>
        <v/>
      </c>
      <c r="H754" s="13" t="str">
        <f>IFERROR(+H750/H752,"")</f>
        <v/>
      </c>
      <c r="I754" s="16" t="str">
        <f t="shared" ref="I754:Q754" si="195">IFERROR(+I750/I752,"")</f>
        <v/>
      </c>
      <c r="J754" s="13" t="str">
        <f t="shared" si="195"/>
        <v/>
      </c>
      <c r="K754" s="13" t="str">
        <f t="shared" si="195"/>
        <v/>
      </c>
      <c r="L754" s="13" t="str">
        <f t="shared" si="195"/>
        <v/>
      </c>
      <c r="M754" s="13" t="str">
        <f t="shared" si="195"/>
        <v/>
      </c>
      <c r="N754" s="13" t="str">
        <f t="shared" si="195"/>
        <v/>
      </c>
      <c r="O754" s="13" t="str">
        <f t="shared" si="195"/>
        <v/>
      </c>
      <c r="P754" s="13" t="str">
        <f t="shared" si="195"/>
        <v/>
      </c>
      <c r="Q754" s="13" t="str">
        <f t="shared" si="195"/>
        <v/>
      </c>
    </row>
    <row r="755" spans="2:17" hidden="1" outlineLevel="1">
      <c r="C755" s="9"/>
      <c r="D755" s="7">
        <v>11</v>
      </c>
      <c r="E755" s="310" t="s">
        <v>214</v>
      </c>
      <c r="F755" s="22" t="s">
        <v>215</v>
      </c>
      <c r="G755" s="14"/>
      <c r="H755" s="48" t="str">
        <f t="shared" ref="H755:Q755" si="196">IFERROR((H754-G754)/G754,"")</f>
        <v/>
      </c>
      <c r="I755" s="49" t="str">
        <f t="shared" si="196"/>
        <v/>
      </c>
      <c r="J755" s="48" t="str">
        <f t="shared" si="196"/>
        <v/>
      </c>
      <c r="K755" s="48" t="str">
        <f>IFERROR((K754-J754)/J754,"")</f>
        <v/>
      </c>
      <c r="L755" s="48" t="str">
        <f t="shared" si="196"/>
        <v/>
      </c>
      <c r="M755" s="48" t="str">
        <f t="shared" si="196"/>
        <v/>
      </c>
      <c r="N755" s="48" t="str">
        <f t="shared" si="196"/>
        <v/>
      </c>
      <c r="O755" s="48" t="str">
        <f t="shared" si="196"/>
        <v/>
      </c>
      <c r="P755" s="48" t="str">
        <f t="shared" si="196"/>
        <v/>
      </c>
      <c r="Q755" s="48" t="str">
        <f t="shared" si="196"/>
        <v/>
      </c>
    </row>
    <row r="756" spans="2:17" hidden="1" outlineLevel="1">
      <c r="C756" s="9"/>
      <c r="D756" s="7">
        <v>12</v>
      </c>
      <c r="E756" s="310" t="s">
        <v>216</v>
      </c>
      <c r="F756" s="21"/>
      <c r="G756" s="70" t="str">
        <f t="shared" ref="G756:Q756" si="197">IFERROR(+G751/G753,"")</f>
        <v/>
      </c>
      <c r="H756" s="71" t="str">
        <f t="shared" si="197"/>
        <v/>
      </c>
      <c r="I756" s="71" t="str">
        <f t="shared" si="197"/>
        <v/>
      </c>
      <c r="J756" s="71" t="str">
        <f t="shared" si="197"/>
        <v/>
      </c>
      <c r="K756" s="71" t="str">
        <f t="shared" si="197"/>
        <v/>
      </c>
      <c r="L756" s="71" t="str">
        <f t="shared" si="197"/>
        <v/>
      </c>
      <c r="M756" s="71" t="str">
        <f t="shared" si="197"/>
        <v/>
      </c>
      <c r="N756" s="71" t="str">
        <f t="shared" si="197"/>
        <v/>
      </c>
      <c r="O756" s="71" t="str">
        <f t="shared" si="197"/>
        <v/>
      </c>
      <c r="P756" s="71" t="str">
        <f t="shared" si="197"/>
        <v/>
      </c>
      <c r="Q756" s="71" t="str">
        <f t="shared" si="197"/>
        <v/>
      </c>
    </row>
    <row r="757" spans="2:17" hidden="1" outlineLevel="1">
      <c r="D757" s="7">
        <v>13</v>
      </c>
      <c r="E757" s="310" t="s">
        <v>217</v>
      </c>
      <c r="F757" s="21" t="s">
        <v>218</v>
      </c>
      <c r="G757" s="14"/>
      <c r="H757" s="48" t="str">
        <f t="shared" ref="H757:Q757" si="198">IFERROR((H756-G756)/G756,"")</f>
        <v/>
      </c>
      <c r="I757" s="49" t="str">
        <f t="shared" si="198"/>
        <v/>
      </c>
      <c r="J757" s="48" t="str">
        <f t="shared" si="198"/>
        <v/>
      </c>
      <c r="K757" s="48" t="str">
        <f t="shared" si="198"/>
        <v/>
      </c>
      <c r="L757" s="48" t="str">
        <f t="shared" si="198"/>
        <v/>
      </c>
      <c r="M757" s="48" t="str">
        <f t="shared" si="198"/>
        <v/>
      </c>
      <c r="N757" s="48" t="str">
        <f t="shared" si="198"/>
        <v/>
      </c>
      <c r="O757" s="48" t="str">
        <f t="shared" si="198"/>
        <v/>
      </c>
      <c r="P757" s="48" t="str">
        <f t="shared" si="198"/>
        <v/>
      </c>
      <c r="Q757" s="48" t="str">
        <f t="shared" si="198"/>
        <v/>
      </c>
    </row>
    <row r="758" spans="2:17" collapsed="1">
      <c r="E758" s="314"/>
    </row>
    <row r="759" spans="2:17" ht="18.5" thickBot="1">
      <c r="B759" s="69"/>
      <c r="C759" s="46" t="s">
        <v>325</v>
      </c>
      <c r="D759" s="4"/>
      <c r="E759" s="308"/>
      <c r="F759" s="240" t="str">
        <f>IF(G760="","","折りたたまれたセルのグループ（非表示行）を展開して、入力項目を入力してください。")</f>
        <v/>
      </c>
      <c r="L759" s="51"/>
    </row>
    <row r="760" spans="2:17" ht="50.15" customHeight="1" thickBot="1">
      <c r="D760" s="128">
        <v>1</v>
      </c>
      <c r="E760" s="311" t="s">
        <v>275</v>
      </c>
      <c r="F760" s="129"/>
      <c r="G760" s="130" t="str">
        <f>IF($L$106="","",$L$106)</f>
        <v/>
      </c>
    </row>
    <row r="761" spans="2:17" hidden="1" outlineLevel="1">
      <c r="D761" s="52">
        <v>2</v>
      </c>
      <c r="E761" s="312" t="s">
        <v>292</v>
      </c>
      <c r="F761" s="57" t="s">
        <v>241</v>
      </c>
      <c r="G761" s="144"/>
    </row>
    <row r="762" spans="2:17" ht="33" hidden="1" outlineLevel="1">
      <c r="D762" s="52">
        <v>3</v>
      </c>
      <c r="E762" s="312" t="s">
        <v>277</v>
      </c>
      <c r="F762" s="30" t="s">
        <v>241</v>
      </c>
      <c r="G762" s="141"/>
      <c r="K762" s="375" t="s">
        <v>278</v>
      </c>
      <c r="L762" s="375"/>
      <c r="M762" s="375"/>
      <c r="N762" s="375"/>
      <c r="O762" s="196"/>
      <c r="P762" s="195" t="s">
        <v>279</v>
      </c>
      <c r="Q762" s="50" t="s">
        <v>280</v>
      </c>
    </row>
    <row r="763" spans="2:17" hidden="1" outlineLevel="1">
      <c r="D763" s="52">
        <v>4</v>
      </c>
      <c r="E763" s="293" t="s">
        <v>281</v>
      </c>
      <c r="F763" s="19" t="s">
        <v>241</v>
      </c>
      <c r="G763" s="141"/>
      <c r="H763" s="6"/>
      <c r="K763" s="375"/>
      <c r="L763" s="375"/>
      <c r="M763" s="375"/>
      <c r="N763" s="375"/>
      <c r="O763" s="125" t="s">
        <v>282</v>
      </c>
      <c r="P763" s="131" t="str">
        <f>IF(AND(COUNTA($G770:$Q770)&gt;0,SUMIF($G770:$Q770,"&lt;&gt;"&amp;"")=0),"－",IFERROR(((HLOOKUP(EDATE($F$13,36),$G767:$Q775,6,FALSE))/(HLOOKUP(EDATE($F$13,0),$G767:$Q775,6,FALSE)))^(1/3)-1,""))</f>
        <v/>
      </c>
      <c r="Q763" s="376">
        <v>4.4999999999999998E-2</v>
      </c>
    </row>
    <row r="764" spans="2:17" ht="36" hidden="1" outlineLevel="1">
      <c r="D764" s="52">
        <v>5</v>
      </c>
      <c r="E764" s="293" t="s">
        <v>283</v>
      </c>
      <c r="F764" s="19" t="s">
        <v>256</v>
      </c>
      <c r="G764" s="315"/>
      <c r="H764" s="6"/>
      <c r="K764" s="375"/>
      <c r="L764" s="375"/>
      <c r="M764" s="375"/>
      <c r="N764" s="375"/>
      <c r="O764" s="125" t="s">
        <v>284</v>
      </c>
      <c r="P764" s="125" t="str">
        <f>IF(AND(COUNTA($G771:$Q771)&gt;0,SUMIF($G771:$Q771,"&lt;&gt;"&amp;"")=0),"－",IFERROR(((HLOOKUP(EDATE($F$13,36),$G767:$Q775,8,FALSE))/(HLOOKUP(EDATE($F$13,0),$G767:$Q775,8,FALSE)))^(1/3)-1,""))</f>
        <v/>
      </c>
      <c r="Q764" s="377"/>
    </row>
    <row r="765" spans="2:17" hidden="1" outlineLevel="1">
      <c r="D765" s="35"/>
      <c r="E765" s="316" t="s">
        <v>257</v>
      </c>
      <c r="F765" s="34"/>
      <c r="G765" s="1" t="s">
        <v>179</v>
      </c>
    </row>
    <row r="766" spans="2:17" hidden="1" outlineLevel="1">
      <c r="E766" s="308"/>
      <c r="G766" s="64" t="s">
        <v>181</v>
      </c>
      <c r="H766" s="64" t="s">
        <v>182</v>
      </c>
      <c r="I766" s="64" t="s">
        <v>183</v>
      </c>
      <c r="J766" s="132" t="s">
        <v>184</v>
      </c>
      <c r="K766" s="132"/>
      <c r="L766" s="132"/>
      <c r="M766" s="132"/>
      <c r="N766" s="132"/>
      <c r="O766" s="132"/>
      <c r="P766" s="132"/>
      <c r="Q766" s="132"/>
    </row>
    <row r="767" spans="2:17" hidden="1" outlineLevel="1">
      <c r="D767" s="11"/>
      <c r="E767" s="206"/>
      <c r="F767" s="56"/>
      <c r="G767" s="63" t="str">
        <f>IF($I767="","",EDATE(H767,-12))</f>
        <v/>
      </c>
      <c r="H767" s="63" t="str">
        <f>IF($I767="","",EDATE(I767,-12))</f>
        <v/>
      </c>
      <c r="I767" s="63" t="str">
        <f>IF($I$12="","",$I$12)</f>
        <v/>
      </c>
      <c r="J767" s="63" t="str">
        <f t="shared" ref="J767:Q767" si="199">IF($I767="","",EDATE(I767,12))</f>
        <v/>
      </c>
      <c r="K767" s="63" t="str">
        <f t="shared" si="199"/>
        <v/>
      </c>
      <c r="L767" s="63" t="str">
        <f t="shared" si="199"/>
        <v/>
      </c>
      <c r="M767" s="63" t="str">
        <f t="shared" si="199"/>
        <v/>
      </c>
      <c r="N767" s="63" t="str">
        <f t="shared" si="199"/>
        <v/>
      </c>
      <c r="O767" s="63" t="str">
        <f t="shared" si="199"/>
        <v/>
      </c>
      <c r="P767" s="63" t="str">
        <f t="shared" si="199"/>
        <v/>
      </c>
      <c r="Q767" s="63" t="str">
        <f t="shared" si="199"/>
        <v/>
      </c>
    </row>
    <row r="768" spans="2:17" hidden="1" outlineLevel="1">
      <c r="D768" s="52">
        <v>6</v>
      </c>
      <c r="E768" s="293" t="s">
        <v>206</v>
      </c>
      <c r="F768" s="55"/>
      <c r="G768" s="138"/>
      <c r="H768" s="138"/>
      <c r="I768" s="138"/>
      <c r="J768" s="138"/>
      <c r="K768" s="138"/>
      <c r="L768" s="138"/>
      <c r="M768" s="138"/>
      <c r="N768" s="138"/>
      <c r="O768" s="138"/>
      <c r="P768" s="106"/>
      <c r="Q768" s="106"/>
    </row>
    <row r="769" spans="2:17" hidden="1" outlineLevel="1">
      <c r="C769" s="9"/>
      <c r="D769" s="52">
        <v>7</v>
      </c>
      <c r="E769" s="293" t="s">
        <v>207</v>
      </c>
      <c r="F769" s="55"/>
      <c r="G769" s="138"/>
      <c r="H769" s="106"/>
      <c r="I769" s="139"/>
      <c r="J769" s="106"/>
      <c r="K769" s="106"/>
      <c r="L769" s="154"/>
      <c r="M769" s="106"/>
      <c r="N769" s="106"/>
      <c r="O769" s="106"/>
      <c r="P769" s="106"/>
      <c r="Q769" s="106"/>
    </row>
    <row r="770" spans="2:17" hidden="1" outlineLevel="1">
      <c r="C770" s="9"/>
      <c r="D770" s="5">
        <v>8</v>
      </c>
      <c r="E770" s="303" t="s">
        <v>210</v>
      </c>
      <c r="F770" s="20" t="s">
        <v>211</v>
      </c>
      <c r="G770" s="306"/>
      <c r="H770" s="306"/>
      <c r="I770" s="306"/>
      <c r="J770" s="306"/>
      <c r="K770" s="306"/>
      <c r="L770" s="306"/>
      <c r="M770" s="306"/>
      <c r="N770" s="306"/>
      <c r="O770" s="306"/>
      <c r="P770" s="229"/>
      <c r="Q770" s="229"/>
    </row>
    <row r="771" spans="2:17" hidden="1" outlineLevel="1">
      <c r="C771" s="9"/>
      <c r="D771" s="52">
        <v>9</v>
      </c>
      <c r="E771" s="293" t="s">
        <v>212</v>
      </c>
      <c r="F771" s="55" t="s">
        <v>287</v>
      </c>
      <c r="G771" s="306"/>
      <c r="H771" s="229"/>
      <c r="I771" s="307"/>
      <c r="J771" s="229"/>
      <c r="K771" s="229"/>
      <c r="L771" s="229"/>
      <c r="M771" s="229"/>
      <c r="N771" s="229"/>
      <c r="O771" s="229"/>
      <c r="P771" s="229"/>
      <c r="Q771" s="229"/>
    </row>
    <row r="772" spans="2:17" hidden="1" outlineLevel="1">
      <c r="C772" s="9"/>
      <c r="D772" s="7">
        <v>10</v>
      </c>
      <c r="E772" s="310" t="s">
        <v>213</v>
      </c>
      <c r="F772" s="22"/>
      <c r="G772" s="12" t="str">
        <f>IFERROR(+G768/G770,"")</f>
        <v/>
      </c>
      <c r="H772" s="13" t="str">
        <f>IFERROR(+H768/H770,"")</f>
        <v/>
      </c>
      <c r="I772" s="16" t="str">
        <f t="shared" ref="I772:Q772" si="200">IFERROR(+I768/I770,"")</f>
        <v/>
      </c>
      <c r="J772" s="13" t="str">
        <f t="shared" si="200"/>
        <v/>
      </c>
      <c r="K772" s="13" t="str">
        <f t="shared" si="200"/>
        <v/>
      </c>
      <c r="L772" s="13" t="str">
        <f t="shared" si="200"/>
        <v/>
      </c>
      <c r="M772" s="13" t="str">
        <f t="shared" si="200"/>
        <v/>
      </c>
      <c r="N772" s="13" t="str">
        <f t="shared" si="200"/>
        <v/>
      </c>
      <c r="O772" s="13" t="str">
        <f t="shared" si="200"/>
        <v/>
      </c>
      <c r="P772" s="13" t="str">
        <f t="shared" si="200"/>
        <v/>
      </c>
      <c r="Q772" s="13" t="str">
        <f t="shared" si="200"/>
        <v/>
      </c>
    </row>
    <row r="773" spans="2:17" hidden="1" outlineLevel="1">
      <c r="C773" s="9"/>
      <c r="D773" s="7">
        <v>11</v>
      </c>
      <c r="E773" s="310" t="s">
        <v>214</v>
      </c>
      <c r="F773" s="22" t="s">
        <v>215</v>
      </c>
      <c r="G773" s="14"/>
      <c r="H773" s="48" t="str">
        <f t="shared" ref="H773:Q773" si="201">IFERROR((H772-G772)/G772,"")</f>
        <v/>
      </c>
      <c r="I773" s="49" t="str">
        <f t="shared" si="201"/>
        <v/>
      </c>
      <c r="J773" s="48" t="str">
        <f t="shared" si="201"/>
        <v/>
      </c>
      <c r="K773" s="48" t="str">
        <f>IFERROR((K772-J772)/J772,"")</f>
        <v/>
      </c>
      <c r="L773" s="48" t="str">
        <f t="shared" si="201"/>
        <v/>
      </c>
      <c r="M773" s="48" t="str">
        <f t="shared" si="201"/>
        <v/>
      </c>
      <c r="N773" s="48" t="str">
        <f t="shared" si="201"/>
        <v/>
      </c>
      <c r="O773" s="48" t="str">
        <f t="shared" si="201"/>
        <v/>
      </c>
      <c r="P773" s="48" t="str">
        <f t="shared" si="201"/>
        <v/>
      </c>
      <c r="Q773" s="48" t="str">
        <f t="shared" si="201"/>
        <v/>
      </c>
    </row>
    <row r="774" spans="2:17" hidden="1" outlineLevel="1">
      <c r="C774" s="9"/>
      <c r="D774" s="7">
        <v>12</v>
      </c>
      <c r="E774" s="310" t="s">
        <v>216</v>
      </c>
      <c r="F774" s="21"/>
      <c r="G774" s="70" t="str">
        <f t="shared" ref="G774:Q774" si="202">IFERROR(+G769/G771,"")</f>
        <v/>
      </c>
      <c r="H774" s="71" t="str">
        <f t="shared" si="202"/>
        <v/>
      </c>
      <c r="I774" s="71" t="str">
        <f t="shared" si="202"/>
        <v/>
      </c>
      <c r="J774" s="71" t="str">
        <f t="shared" si="202"/>
        <v/>
      </c>
      <c r="K774" s="71" t="str">
        <f t="shared" si="202"/>
        <v/>
      </c>
      <c r="L774" s="71" t="str">
        <f t="shared" si="202"/>
        <v/>
      </c>
      <c r="M774" s="71" t="str">
        <f t="shared" si="202"/>
        <v/>
      </c>
      <c r="N774" s="71" t="str">
        <f t="shared" si="202"/>
        <v/>
      </c>
      <c r="O774" s="71" t="str">
        <f t="shared" si="202"/>
        <v/>
      </c>
      <c r="P774" s="71" t="str">
        <f t="shared" si="202"/>
        <v/>
      </c>
      <c r="Q774" s="71" t="str">
        <f t="shared" si="202"/>
        <v/>
      </c>
    </row>
    <row r="775" spans="2:17" hidden="1" outlineLevel="1">
      <c r="D775" s="7">
        <v>13</v>
      </c>
      <c r="E775" s="310" t="s">
        <v>217</v>
      </c>
      <c r="F775" s="21" t="s">
        <v>218</v>
      </c>
      <c r="G775" s="14"/>
      <c r="H775" s="48" t="str">
        <f t="shared" ref="H775:Q775" si="203">IFERROR((H774-G774)/G774,"")</f>
        <v/>
      </c>
      <c r="I775" s="49" t="str">
        <f t="shared" si="203"/>
        <v/>
      </c>
      <c r="J775" s="48" t="str">
        <f t="shared" si="203"/>
        <v/>
      </c>
      <c r="K775" s="48" t="str">
        <f t="shared" si="203"/>
        <v/>
      </c>
      <c r="L775" s="48" t="str">
        <f t="shared" si="203"/>
        <v/>
      </c>
      <c r="M775" s="48" t="str">
        <f t="shared" si="203"/>
        <v/>
      </c>
      <c r="N775" s="48" t="str">
        <f t="shared" si="203"/>
        <v/>
      </c>
      <c r="O775" s="48" t="str">
        <f t="shared" si="203"/>
        <v/>
      </c>
      <c r="P775" s="48" t="str">
        <f t="shared" si="203"/>
        <v/>
      </c>
      <c r="Q775" s="48" t="str">
        <f t="shared" si="203"/>
        <v/>
      </c>
    </row>
    <row r="776" spans="2:17" collapsed="1">
      <c r="E776" s="314"/>
    </row>
    <row r="777" spans="2:17" ht="18.5" thickBot="1">
      <c r="B777" s="69"/>
      <c r="C777" s="46" t="s">
        <v>326</v>
      </c>
      <c r="D777" s="4"/>
      <c r="E777" s="308"/>
      <c r="F777" s="240" t="str">
        <f>IF(G778="","","折りたたまれたセルのグループ（非表示行）を展開して、入力項目を入力してください。")</f>
        <v/>
      </c>
      <c r="L777" s="51"/>
    </row>
    <row r="778" spans="2:17" ht="50.15" customHeight="1" thickBot="1">
      <c r="D778" s="128">
        <v>1</v>
      </c>
      <c r="E778" s="311" t="s">
        <v>275</v>
      </c>
      <c r="F778" s="129"/>
      <c r="G778" s="130" t="str">
        <f>IF($M$106="","",$M$106)</f>
        <v/>
      </c>
    </row>
    <row r="779" spans="2:17" hidden="1" outlineLevel="1">
      <c r="D779" s="52">
        <v>2</v>
      </c>
      <c r="E779" s="312" t="s">
        <v>292</v>
      </c>
      <c r="F779" s="57" t="s">
        <v>241</v>
      </c>
      <c r="G779" s="144"/>
    </row>
    <row r="780" spans="2:17" ht="33" hidden="1" outlineLevel="1">
      <c r="D780" s="52">
        <v>3</v>
      </c>
      <c r="E780" s="312" t="s">
        <v>277</v>
      </c>
      <c r="F780" s="30" t="s">
        <v>241</v>
      </c>
      <c r="G780" s="141"/>
      <c r="K780" s="375" t="s">
        <v>278</v>
      </c>
      <c r="L780" s="375"/>
      <c r="M780" s="375"/>
      <c r="N780" s="375"/>
      <c r="O780" s="196"/>
      <c r="P780" s="195" t="s">
        <v>279</v>
      </c>
      <c r="Q780" s="50" t="s">
        <v>280</v>
      </c>
    </row>
    <row r="781" spans="2:17" hidden="1" outlineLevel="1">
      <c r="D781" s="52">
        <v>4</v>
      </c>
      <c r="E781" s="293" t="s">
        <v>281</v>
      </c>
      <c r="F781" s="19" t="s">
        <v>241</v>
      </c>
      <c r="G781" s="141"/>
      <c r="H781" s="6"/>
      <c r="K781" s="375"/>
      <c r="L781" s="375"/>
      <c r="M781" s="375"/>
      <c r="N781" s="375"/>
      <c r="O781" s="125" t="s">
        <v>282</v>
      </c>
      <c r="P781" s="131" t="str">
        <f>IF(AND(COUNTA($G788:$Q788)&gt;0,SUMIF($G788:$Q788,"&lt;&gt;"&amp;"")=0),"－",IFERROR(((HLOOKUP(EDATE($F$13,36),$G785:$Q793,6,FALSE))/(HLOOKUP(EDATE($F$13,0),$G785:$Q793,6,FALSE)))^(1/3)-1,""))</f>
        <v/>
      </c>
      <c r="Q781" s="376">
        <v>4.4999999999999998E-2</v>
      </c>
    </row>
    <row r="782" spans="2:17" ht="36" hidden="1" outlineLevel="1">
      <c r="D782" s="52">
        <v>5</v>
      </c>
      <c r="E782" s="293" t="s">
        <v>283</v>
      </c>
      <c r="F782" s="19" t="s">
        <v>256</v>
      </c>
      <c r="G782" s="315"/>
      <c r="H782" s="6"/>
      <c r="K782" s="375"/>
      <c r="L782" s="375"/>
      <c r="M782" s="375"/>
      <c r="N782" s="375"/>
      <c r="O782" s="125" t="s">
        <v>284</v>
      </c>
      <c r="P782" s="125" t="str">
        <f>IF(AND(COUNTA($G789:$Q789)&gt;0,SUMIF($G789:$Q789,"&lt;&gt;"&amp;"")=0),"－",IFERROR(((HLOOKUP(EDATE($F$13,36),$G785:$Q793,8,FALSE))/(HLOOKUP(EDATE($F$13,0),$G785:$Q793,8,FALSE)))^(1/3)-1,""))</f>
        <v/>
      </c>
      <c r="Q782" s="377"/>
    </row>
    <row r="783" spans="2:17" hidden="1" outlineLevel="1">
      <c r="D783" s="35"/>
      <c r="E783" s="316" t="s">
        <v>257</v>
      </c>
      <c r="F783" s="34"/>
      <c r="G783" s="1" t="s">
        <v>179</v>
      </c>
    </row>
    <row r="784" spans="2:17" hidden="1" outlineLevel="1">
      <c r="E784" s="308"/>
      <c r="G784" s="64" t="s">
        <v>181</v>
      </c>
      <c r="H784" s="64" t="s">
        <v>182</v>
      </c>
      <c r="I784" s="64" t="s">
        <v>183</v>
      </c>
      <c r="J784" s="132" t="s">
        <v>184</v>
      </c>
      <c r="K784" s="132"/>
      <c r="L784" s="132"/>
      <c r="M784" s="132"/>
      <c r="N784" s="132"/>
      <c r="O784" s="132"/>
      <c r="P784" s="132"/>
      <c r="Q784" s="132"/>
    </row>
    <row r="785" spans="2:17" hidden="1" outlineLevel="1">
      <c r="D785" s="11"/>
      <c r="E785" s="206"/>
      <c r="F785" s="56"/>
      <c r="G785" s="63" t="str">
        <f>IF($I785="","",EDATE(H785,-12))</f>
        <v/>
      </c>
      <c r="H785" s="63" t="str">
        <f>IF($I785="","",EDATE(I785,-12))</f>
        <v/>
      </c>
      <c r="I785" s="63" t="str">
        <f>IF($I$12="","",$I$12)</f>
        <v/>
      </c>
      <c r="J785" s="63" t="str">
        <f t="shared" ref="J785:Q785" si="204">IF($I785="","",EDATE(I785,12))</f>
        <v/>
      </c>
      <c r="K785" s="63" t="str">
        <f t="shared" si="204"/>
        <v/>
      </c>
      <c r="L785" s="63" t="str">
        <f t="shared" si="204"/>
        <v/>
      </c>
      <c r="M785" s="63" t="str">
        <f t="shared" si="204"/>
        <v/>
      </c>
      <c r="N785" s="63" t="str">
        <f t="shared" si="204"/>
        <v/>
      </c>
      <c r="O785" s="63" t="str">
        <f t="shared" si="204"/>
        <v/>
      </c>
      <c r="P785" s="63" t="str">
        <f t="shared" si="204"/>
        <v/>
      </c>
      <c r="Q785" s="63" t="str">
        <f t="shared" si="204"/>
        <v/>
      </c>
    </row>
    <row r="786" spans="2:17" hidden="1" outlineLevel="1">
      <c r="D786" s="52">
        <v>6</v>
      </c>
      <c r="E786" s="293" t="s">
        <v>206</v>
      </c>
      <c r="F786" s="55"/>
      <c r="G786" s="138"/>
      <c r="H786" s="138"/>
      <c r="I786" s="138"/>
      <c r="J786" s="138"/>
      <c r="K786" s="138"/>
      <c r="L786" s="138"/>
      <c r="M786" s="138"/>
      <c r="N786" s="138"/>
      <c r="O786" s="138"/>
      <c r="P786" s="106"/>
      <c r="Q786" s="106"/>
    </row>
    <row r="787" spans="2:17" hidden="1" outlineLevel="1">
      <c r="C787" s="9"/>
      <c r="D787" s="52">
        <v>7</v>
      </c>
      <c r="E787" s="293" t="s">
        <v>207</v>
      </c>
      <c r="F787" s="55"/>
      <c r="G787" s="138"/>
      <c r="H787" s="106"/>
      <c r="I787" s="139"/>
      <c r="J787" s="106"/>
      <c r="K787" s="106"/>
      <c r="L787" s="154"/>
      <c r="M787" s="106"/>
      <c r="N787" s="106"/>
      <c r="O787" s="106"/>
      <c r="P787" s="106"/>
      <c r="Q787" s="106"/>
    </row>
    <row r="788" spans="2:17" hidden="1" outlineLevel="1">
      <c r="C788" s="9"/>
      <c r="D788" s="5">
        <v>8</v>
      </c>
      <c r="E788" s="303" t="s">
        <v>210</v>
      </c>
      <c r="F788" s="20" t="s">
        <v>211</v>
      </c>
      <c r="G788" s="306"/>
      <c r="H788" s="306"/>
      <c r="I788" s="306"/>
      <c r="J788" s="306"/>
      <c r="K788" s="306"/>
      <c r="L788" s="306"/>
      <c r="M788" s="306"/>
      <c r="N788" s="306"/>
      <c r="O788" s="306"/>
      <c r="P788" s="229"/>
      <c r="Q788" s="229"/>
    </row>
    <row r="789" spans="2:17" hidden="1" outlineLevel="1">
      <c r="C789" s="9"/>
      <c r="D789" s="52">
        <v>9</v>
      </c>
      <c r="E789" s="293" t="s">
        <v>212</v>
      </c>
      <c r="F789" s="55" t="s">
        <v>287</v>
      </c>
      <c r="G789" s="306"/>
      <c r="H789" s="229"/>
      <c r="I789" s="307"/>
      <c r="J789" s="229"/>
      <c r="K789" s="229"/>
      <c r="L789" s="229"/>
      <c r="M789" s="229"/>
      <c r="N789" s="229"/>
      <c r="O789" s="229"/>
      <c r="P789" s="229"/>
      <c r="Q789" s="229"/>
    </row>
    <row r="790" spans="2:17" hidden="1" outlineLevel="1">
      <c r="C790" s="9"/>
      <c r="D790" s="7">
        <v>10</v>
      </c>
      <c r="E790" s="310" t="s">
        <v>213</v>
      </c>
      <c r="F790" s="22"/>
      <c r="G790" s="12" t="str">
        <f>IFERROR(+G786/G788,"")</f>
        <v/>
      </c>
      <c r="H790" s="13" t="str">
        <f>IFERROR(+H786/H788,"")</f>
        <v/>
      </c>
      <c r="I790" s="16" t="str">
        <f t="shared" ref="I790:Q790" si="205">IFERROR(+I786/I788,"")</f>
        <v/>
      </c>
      <c r="J790" s="13" t="str">
        <f t="shared" si="205"/>
        <v/>
      </c>
      <c r="K790" s="13" t="str">
        <f t="shared" si="205"/>
        <v/>
      </c>
      <c r="L790" s="13" t="str">
        <f t="shared" si="205"/>
        <v/>
      </c>
      <c r="M790" s="13" t="str">
        <f t="shared" si="205"/>
        <v/>
      </c>
      <c r="N790" s="13" t="str">
        <f t="shared" si="205"/>
        <v/>
      </c>
      <c r="O790" s="13" t="str">
        <f t="shared" si="205"/>
        <v/>
      </c>
      <c r="P790" s="13" t="str">
        <f t="shared" si="205"/>
        <v/>
      </c>
      <c r="Q790" s="13" t="str">
        <f t="shared" si="205"/>
        <v/>
      </c>
    </row>
    <row r="791" spans="2:17" hidden="1" outlineLevel="1">
      <c r="C791" s="9"/>
      <c r="D791" s="7">
        <v>11</v>
      </c>
      <c r="E791" s="310" t="s">
        <v>214</v>
      </c>
      <c r="F791" s="22" t="s">
        <v>215</v>
      </c>
      <c r="G791" s="14"/>
      <c r="H791" s="48" t="str">
        <f t="shared" ref="H791:Q791" si="206">IFERROR((H790-G790)/G790,"")</f>
        <v/>
      </c>
      <c r="I791" s="49" t="str">
        <f t="shared" si="206"/>
        <v/>
      </c>
      <c r="J791" s="48" t="str">
        <f t="shared" si="206"/>
        <v/>
      </c>
      <c r="K791" s="48" t="str">
        <f>IFERROR((K790-J790)/J790,"")</f>
        <v/>
      </c>
      <c r="L791" s="48" t="str">
        <f t="shared" si="206"/>
        <v/>
      </c>
      <c r="M791" s="48" t="str">
        <f t="shared" si="206"/>
        <v/>
      </c>
      <c r="N791" s="48" t="str">
        <f t="shared" si="206"/>
        <v/>
      </c>
      <c r="O791" s="48" t="str">
        <f t="shared" si="206"/>
        <v/>
      </c>
      <c r="P791" s="48" t="str">
        <f t="shared" si="206"/>
        <v/>
      </c>
      <c r="Q791" s="48" t="str">
        <f t="shared" si="206"/>
        <v/>
      </c>
    </row>
    <row r="792" spans="2:17" hidden="1" outlineLevel="1">
      <c r="C792" s="9"/>
      <c r="D792" s="7">
        <v>12</v>
      </c>
      <c r="E792" s="310" t="s">
        <v>216</v>
      </c>
      <c r="F792" s="21"/>
      <c r="G792" s="70" t="str">
        <f t="shared" ref="G792:Q792" si="207">IFERROR(+G787/G789,"")</f>
        <v/>
      </c>
      <c r="H792" s="71" t="str">
        <f t="shared" si="207"/>
        <v/>
      </c>
      <c r="I792" s="71" t="str">
        <f t="shared" si="207"/>
        <v/>
      </c>
      <c r="J792" s="71" t="str">
        <f t="shared" si="207"/>
        <v/>
      </c>
      <c r="K792" s="71" t="str">
        <f t="shared" si="207"/>
        <v/>
      </c>
      <c r="L792" s="71" t="str">
        <f t="shared" si="207"/>
        <v/>
      </c>
      <c r="M792" s="71" t="str">
        <f t="shared" si="207"/>
        <v/>
      </c>
      <c r="N792" s="71" t="str">
        <f t="shared" si="207"/>
        <v/>
      </c>
      <c r="O792" s="71" t="str">
        <f t="shared" si="207"/>
        <v/>
      </c>
      <c r="P792" s="71" t="str">
        <f t="shared" si="207"/>
        <v/>
      </c>
      <c r="Q792" s="71" t="str">
        <f t="shared" si="207"/>
        <v/>
      </c>
    </row>
    <row r="793" spans="2:17" hidden="1" outlineLevel="1">
      <c r="D793" s="7">
        <v>13</v>
      </c>
      <c r="E793" s="310" t="s">
        <v>217</v>
      </c>
      <c r="F793" s="21" t="s">
        <v>218</v>
      </c>
      <c r="G793" s="14"/>
      <c r="H793" s="48" t="str">
        <f t="shared" ref="H793:Q793" si="208">IFERROR((H792-G792)/G792,"")</f>
        <v/>
      </c>
      <c r="I793" s="49" t="str">
        <f t="shared" si="208"/>
        <v/>
      </c>
      <c r="J793" s="48" t="str">
        <f t="shared" si="208"/>
        <v/>
      </c>
      <c r="K793" s="48" t="str">
        <f t="shared" si="208"/>
        <v/>
      </c>
      <c r="L793" s="48" t="str">
        <f t="shared" si="208"/>
        <v/>
      </c>
      <c r="M793" s="48" t="str">
        <f t="shared" si="208"/>
        <v/>
      </c>
      <c r="N793" s="48" t="str">
        <f t="shared" si="208"/>
        <v/>
      </c>
      <c r="O793" s="48" t="str">
        <f t="shared" si="208"/>
        <v/>
      </c>
      <c r="P793" s="48" t="str">
        <f t="shared" si="208"/>
        <v/>
      </c>
      <c r="Q793" s="48" t="str">
        <f t="shared" si="208"/>
        <v/>
      </c>
    </row>
    <row r="794" spans="2:17" collapsed="1">
      <c r="E794" s="314"/>
    </row>
    <row r="795" spans="2:17" ht="18.5" thickBot="1">
      <c r="B795" s="69"/>
      <c r="C795" s="46" t="s">
        <v>327</v>
      </c>
      <c r="D795" s="4"/>
      <c r="E795" s="308"/>
      <c r="F795" s="240" t="str">
        <f>IF(G796="","","折りたたまれたセルのグループ（非表示行）を展開して、入力項目を入力してください。")</f>
        <v/>
      </c>
      <c r="L795" s="51"/>
    </row>
    <row r="796" spans="2:17" ht="50.15" customHeight="1" thickBot="1">
      <c r="D796" s="128">
        <v>1</v>
      </c>
      <c r="E796" s="311" t="s">
        <v>275</v>
      </c>
      <c r="F796" s="129"/>
      <c r="G796" s="130" t="str">
        <f>IF($N$106="","",$N$106)</f>
        <v/>
      </c>
    </row>
    <row r="797" spans="2:17" hidden="1" outlineLevel="1">
      <c r="D797" s="52">
        <v>2</v>
      </c>
      <c r="E797" s="312" t="s">
        <v>292</v>
      </c>
      <c r="F797" s="57" t="s">
        <v>241</v>
      </c>
      <c r="G797" s="144"/>
    </row>
    <row r="798" spans="2:17" ht="33" hidden="1" outlineLevel="1">
      <c r="D798" s="52">
        <v>3</v>
      </c>
      <c r="E798" s="312" t="s">
        <v>277</v>
      </c>
      <c r="F798" s="30" t="s">
        <v>241</v>
      </c>
      <c r="G798" s="141"/>
      <c r="K798" s="375" t="s">
        <v>278</v>
      </c>
      <c r="L798" s="375"/>
      <c r="M798" s="375"/>
      <c r="N798" s="375"/>
      <c r="O798" s="196"/>
      <c r="P798" s="195" t="s">
        <v>279</v>
      </c>
      <c r="Q798" s="50" t="s">
        <v>280</v>
      </c>
    </row>
    <row r="799" spans="2:17" hidden="1" outlineLevel="1">
      <c r="D799" s="52">
        <v>4</v>
      </c>
      <c r="E799" s="293" t="s">
        <v>281</v>
      </c>
      <c r="F799" s="19" t="s">
        <v>241</v>
      </c>
      <c r="G799" s="141"/>
      <c r="H799" s="6"/>
      <c r="K799" s="375"/>
      <c r="L799" s="375"/>
      <c r="M799" s="375"/>
      <c r="N799" s="375"/>
      <c r="O799" s="125" t="s">
        <v>282</v>
      </c>
      <c r="P799" s="131" t="str">
        <f>IF(AND(COUNTA($G806:$Q806)&gt;0,SUMIF($G806:$Q806,"&lt;&gt;"&amp;"")=0),"－",IFERROR(((HLOOKUP(EDATE($F$13,36),$G803:$Q811,6,FALSE))/(HLOOKUP(EDATE($F$13,0),$G803:$Q811,6,FALSE)))^(1/3)-1,""))</f>
        <v/>
      </c>
      <c r="Q799" s="376">
        <v>4.4999999999999998E-2</v>
      </c>
    </row>
    <row r="800" spans="2:17" ht="36" hidden="1" outlineLevel="1">
      <c r="D800" s="52">
        <v>5</v>
      </c>
      <c r="E800" s="293" t="s">
        <v>283</v>
      </c>
      <c r="F800" s="19" t="s">
        <v>256</v>
      </c>
      <c r="G800" s="315"/>
      <c r="H800" s="6"/>
      <c r="K800" s="375"/>
      <c r="L800" s="375"/>
      <c r="M800" s="375"/>
      <c r="N800" s="375"/>
      <c r="O800" s="125" t="s">
        <v>284</v>
      </c>
      <c r="P800" s="125" t="str">
        <f>IF(AND(COUNTA($G807:$Q807)&gt;0,SUMIF($G807:$Q807,"&lt;&gt;"&amp;"")=0),"－",IFERROR(((HLOOKUP(EDATE($F$13,36),$G803:$Q811,8,FALSE))/(HLOOKUP(EDATE($F$13,0),$G803:$Q811,8,FALSE)))^(1/3)-1,""))</f>
        <v/>
      </c>
      <c r="Q800" s="377"/>
    </row>
    <row r="801" spans="2:17" hidden="1" outlineLevel="1">
      <c r="D801" s="35"/>
      <c r="E801" s="316" t="s">
        <v>257</v>
      </c>
      <c r="F801" s="34"/>
      <c r="G801" s="1" t="s">
        <v>179</v>
      </c>
    </row>
    <row r="802" spans="2:17" hidden="1" outlineLevel="1">
      <c r="E802" s="308"/>
      <c r="G802" s="64" t="s">
        <v>181</v>
      </c>
      <c r="H802" s="64" t="s">
        <v>182</v>
      </c>
      <c r="I802" s="64" t="s">
        <v>183</v>
      </c>
      <c r="J802" s="132" t="s">
        <v>184</v>
      </c>
      <c r="K802" s="132"/>
      <c r="L802" s="132"/>
      <c r="M802" s="132"/>
      <c r="N802" s="132"/>
      <c r="O802" s="132"/>
      <c r="P802" s="132"/>
      <c r="Q802" s="132"/>
    </row>
    <row r="803" spans="2:17" hidden="1" outlineLevel="1">
      <c r="D803" s="11"/>
      <c r="E803" s="206"/>
      <c r="F803" s="56"/>
      <c r="G803" s="63" t="str">
        <f>IF($I803="","",EDATE(H803,-12))</f>
        <v/>
      </c>
      <c r="H803" s="63" t="str">
        <f>IF($I803="","",EDATE(I803,-12))</f>
        <v/>
      </c>
      <c r="I803" s="63" t="str">
        <f>IF($I$12="","",$I$12)</f>
        <v/>
      </c>
      <c r="J803" s="63" t="str">
        <f t="shared" ref="J803:Q803" si="209">IF($I803="","",EDATE(I803,12))</f>
        <v/>
      </c>
      <c r="K803" s="63" t="str">
        <f t="shared" si="209"/>
        <v/>
      </c>
      <c r="L803" s="63" t="str">
        <f t="shared" si="209"/>
        <v/>
      </c>
      <c r="M803" s="63" t="str">
        <f t="shared" si="209"/>
        <v/>
      </c>
      <c r="N803" s="63" t="str">
        <f t="shared" si="209"/>
        <v/>
      </c>
      <c r="O803" s="63" t="str">
        <f t="shared" si="209"/>
        <v/>
      </c>
      <c r="P803" s="63" t="str">
        <f t="shared" si="209"/>
        <v/>
      </c>
      <c r="Q803" s="63" t="str">
        <f t="shared" si="209"/>
        <v/>
      </c>
    </row>
    <row r="804" spans="2:17" hidden="1" outlineLevel="1">
      <c r="D804" s="52">
        <v>6</v>
      </c>
      <c r="E804" s="293" t="s">
        <v>206</v>
      </c>
      <c r="F804" s="55"/>
      <c r="G804" s="138"/>
      <c r="H804" s="138"/>
      <c r="I804" s="138"/>
      <c r="J804" s="138"/>
      <c r="K804" s="138"/>
      <c r="L804" s="138"/>
      <c r="M804" s="138"/>
      <c r="N804" s="138"/>
      <c r="O804" s="138"/>
      <c r="P804" s="106"/>
      <c r="Q804" s="106"/>
    </row>
    <row r="805" spans="2:17" hidden="1" outlineLevel="1">
      <c r="C805" s="9"/>
      <c r="D805" s="52">
        <v>7</v>
      </c>
      <c r="E805" s="293" t="s">
        <v>207</v>
      </c>
      <c r="F805" s="55"/>
      <c r="G805" s="138"/>
      <c r="H805" s="106"/>
      <c r="I805" s="139"/>
      <c r="J805" s="106"/>
      <c r="K805" s="106"/>
      <c r="L805" s="154"/>
      <c r="M805" s="106"/>
      <c r="N805" s="106"/>
      <c r="O805" s="106"/>
      <c r="P805" s="106"/>
      <c r="Q805" s="106"/>
    </row>
    <row r="806" spans="2:17" hidden="1" outlineLevel="1">
      <c r="C806" s="9"/>
      <c r="D806" s="5">
        <v>8</v>
      </c>
      <c r="E806" s="303" t="s">
        <v>210</v>
      </c>
      <c r="F806" s="20" t="s">
        <v>211</v>
      </c>
      <c r="G806" s="306"/>
      <c r="H806" s="306"/>
      <c r="I806" s="306"/>
      <c r="J806" s="306"/>
      <c r="K806" s="306"/>
      <c r="L806" s="306"/>
      <c r="M806" s="306"/>
      <c r="N806" s="306"/>
      <c r="O806" s="306"/>
      <c r="P806" s="229"/>
      <c r="Q806" s="229"/>
    </row>
    <row r="807" spans="2:17" hidden="1" outlineLevel="1">
      <c r="C807" s="9"/>
      <c r="D807" s="52">
        <v>9</v>
      </c>
      <c r="E807" s="293" t="s">
        <v>212</v>
      </c>
      <c r="F807" s="55" t="s">
        <v>287</v>
      </c>
      <c r="G807" s="306"/>
      <c r="H807" s="229"/>
      <c r="I807" s="307"/>
      <c r="J807" s="229"/>
      <c r="K807" s="229"/>
      <c r="L807" s="229"/>
      <c r="M807" s="229"/>
      <c r="N807" s="229"/>
      <c r="O807" s="229"/>
      <c r="P807" s="229"/>
      <c r="Q807" s="229"/>
    </row>
    <row r="808" spans="2:17" hidden="1" outlineLevel="1">
      <c r="C808" s="9"/>
      <c r="D808" s="7">
        <v>10</v>
      </c>
      <c r="E808" s="310" t="s">
        <v>213</v>
      </c>
      <c r="F808" s="22"/>
      <c r="G808" s="12" t="str">
        <f>IFERROR(+G804/G806,"")</f>
        <v/>
      </c>
      <c r="H808" s="13" t="str">
        <f>IFERROR(+H804/H806,"")</f>
        <v/>
      </c>
      <c r="I808" s="16" t="str">
        <f t="shared" ref="I808:Q808" si="210">IFERROR(+I804/I806,"")</f>
        <v/>
      </c>
      <c r="J808" s="13" t="str">
        <f t="shared" si="210"/>
        <v/>
      </c>
      <c r="K808" s="13" t="str">
        <f t="shared" si="210"/>
        <v/>
      </c>
      <c r="L808" s="13" t="str">
        <f t="shared" si="210"/>
        <v/>
      </c>
      <c r="M808" s="13" t="str">
        <f t="shared" si="210"/>
        <v/>
      </c>
      <c r="N808" s="13" t="str">
        <f t="shared" si="210"/>
        <v/>
      </c>
      <c r="O808" s="13" t="str">
        <f t="shared" si="210"/>
        <v/>
      </c>
      <c r="P808" s="13" t="str">
        <f t="shared" si="210"/>
        <v/>
      </c>
      <c r="Q808" s="13" t="str">
        <f t="shared" si="210"/>
        <v/>
      </c>
    </row>
    <row r="809" spans="2:17" hidden="1" outlineLevel="1">
      <c r="C809" s="9"/>
      <c r="D809" s="7">
        <v>11</v>
      </c>
      <c r="E809" s="310" t="s">
        <v>214</v>
      </c>
      <c r="F809" s="22" t="s">
        <v>215</v>
      </c>
      <c r="G809" s="14"/>
      <c r="H809" s="48" t="str">
        <f t="shared" ref="H809:Q809" si="211">IFERROR((H808-G808)/G808,"")</f>
        <v/>
      </c>
      <c r="I809" s="49" t="str">
        <f t="shared" si="211"/>
        <v/>
      </c>
      <c r="J809" s="48" t="str">
        <f t="shared" si="211"/>
        <v/>
      </c>
      <c r="K809" s="48" t="str">
        <f>IFERROR((K808-J808)/J808,"")</f>
        <v/>
      </c>
      <c r="L809" s="48" t="str">
        <f t="shared" si="211"/>
        <v/>
      </c>
      <c r="M809" s="48" t="str">
        <f t="shared" si="211"/>
        <v/>
      </c>
      <c r="N809" s="48" t="str">
        <f t="shared" si="211"/>
        <v/>
      </c>
      <c r="O809" s="48" t="str">
        <f t="shared" si="211"/>
        <v/>
      </c>
      <c r="P809" s="48" t="str">
        <f t="shared" si="211"/>
        <v/>
      </c>
      <c r="Q809" s="48" t="str">
        <f t="shared" si="211"/>
        <v/>
      </c>
    </row>
    <row r="810" spans="2:17" hidden="1" outlineLevel="1">
      <c r="C810" s="9"/>
      <c r="D810" s="7">
        <v>12</v>
      </c>
      <c r="E810" s="310" t="s">
        <v>216</v>
      </c>
      <c r="F810" s="21"/>
      <c r="G810" s="70" t="str">
        <f t="shared" ref="G810:Q810" si="212">IFERROR(+G805/G807,"")</f>
        <v/>
      </c>
      <c r="H810" s="71" t="str">
        <f t="shared" si="212"/>
        <v/>
      </c>
      <c r="I810" s="71" t="str">
        <f t="shared" si="212"/>
        <v/>
      </c>
      <c r="J810" s="71" t="str">
        <f t="shared" si="212"/>
        <v/>
      </c>
      <c r="K810" s="71" t="str">
        <f t="shared" si="212"/>
        <v/>
      </c>
      <c r="L810" s="71" t="str">
        <f t="shared" si="212"/>
        <v/>
      </c>
      <c r="M810" s="71" t="str">
        <f t="shared" si="212"/>
        <v/>
      </c>
      <c r="N810" s="71" t="str">
        <f t="shared" si="212"/>
        <v/>
      </c>
      <c r="O810" s="71" t="str">
        <f t="shared" si="212"/>
        <v/>
      </c>
      <c r="P810" s="71" t="str">
        <f t="shared" si="212"/>
        <v/>
      </c>
      <c r="Q810" s="71" t="str">
        <f t="shared" si="212"/>
        <v/>
      </c>
    </row>
    <row r="811" spans="2:17" hidden="1" outlineLevel="1">
      <c r="D811" s="7">
        <v>13</v>
      </c>
      <c r="E811" s="310" t="s">
        <v>217</v>
      </c>
      <c r="F811" s="21" t="s">
        <v>218</v>
      </c>
      <c r="G811" s="14"/>
      <c r="H811" s="48" t="str">
        <f t="shared" ref="H811:Q811" si="213">IFERROR((H810-G810)/G810,"")</f>
        <v/>
      </c>
      <c r="I811" s="49" t="str">
        <f t="shared" si="213"/>
        <v/>
      </c>
      <c r="J811" s="48" t="str">
        <f t="shared" si="213"/>
        <v/>
      </c>
      <c r="K811" s="48" t="str">
        <f t="shared" si="213"/>
        <v/>
      </c>
      <c r="L811" s="48" t="str">
        <f t="shared" si="213"/>
        <v/>
      </c>
      <c r="M811" s="48" t="str">
        <f t="shared" si="213"/>
        <v/>
      </c>
      <c r="N811" s="48" t="str">
        <f t="shared" si="213"/>
        <v/>
      </c>
      <c r="O811" s="48" t="str">
        <f t="shared" si="213"/>
        <v/>
      </c>
      <c r="P811" s="48" t="str">
        <f t="shared" si="213"/>
        <v/>
      </c>
      <c r="Q811" s="48" t="str">
        <f t="shared" si="213"/>
        <v/>
      </c>
    </row>
    <row r="812" spans="2:17" collapsed="1">
      <c r="E812" s="314"/>
    </row>
    <row r="813" spans="2:17" ht="18.5" thickBot="1">
      <c r="B813" s="69"/>
      <c r="C813" s="46" t="s">
        <v>328</v>
      </c>
      <c r="D813" s="4"/>
      <c r="E813" s="308"/>
      <c r="F813" s="240" t="str">
        <f>IF(G814="","","折りたたまれたセルのグループ（非表示行）を展開して、入力項目を入力してください。")</f>
        <v/>
      </c>
      <c r="L813" s="51"/>
    </row>
    <row r="814" spans="2:17" ht="50.15" customHeight="1" thickBot="1">
      <c r="D814" s="128">
        <v>1</v>
      </c>
      <c r="E814" s="311" t="s">
        <v>275</v>
      </c>
      <c r="F814" s="129"/>
      <c r="G814" s="130" t="str">
        <f>IF($O$106="","",$O$106)</f>
        <v/>
      </c>
    </row>
    <row r="815" spans="2:17" hidden="1" outlineLevel="1">
      <c r="D815" s="52">
        <v>2</v>
      </c>
      <c r="E815" s="312" t="s">
        <v>292</v>
      </c>
      <c r="F815" s="57" t="s">
        <v>241</v>
      </c>
      <c r="G815" s="144"/>
    </row>
    <row r="816" spans="2:17" ht="33" hidden="1" outlineLevel="1">
      <c r="D816" s="52">
        <v>3</v>
      </c>
      <c r="E816" s="312" t="s">
        <v>277</v>
      </c>
      <c r="F816" s="30" t="s">
        <v>241</v>
      </c>
      <c r="G816" s="141"/>
      <c r="K816" s="375" t="s">
        <v>278</v>
      </c>
      <c r="L816" s="375"/>
      <c r="M816" s="375"/>
      <c r="N816" s="375"/>
      <c r="O816" s="196"/>
      <c r="P816" s="195" t="s">
        <v>279</v>
      </c>
      <c r="Q816" s="50" t="s">
        <v>280</v>
      </c>
    </row>
    <row r="817" spans="2:17" hidden="1" outlineLevel="1">
      <c r="D817" s="52">
        <v>4</v>
      </c>
      <c r="E817" s="293" t="s">
        <v>281</v>
      </c>
      <c r="F817" s="19" t="s">
        <v>241</v>
      </c>
      <c r="G817" s="141"/>
      <c r="H817" s="6"/>
      <c r="K817" s="375"/>
      <c r="L817" s="375"/>
      <c r="M817" s="375"/>
      <c r="N817" s="375"/>
      <c r="O817" s="125" t="s">
        <v>282</v>
      </c>
      <c r="P817" s="131" t="str">
        <f>IF(AND(COUNTA($G824:$Q824)&gt;0,SUMIF($G824:$Q824,"&lt;&gt;"&amp;"")=0),"－",IFERROR(((HLOOKUP(EDATE($F$13,36),$G821:$Q829,6,FALSE))/(HLOOKUP(EDATE($F$13,0),$G821:$Q829,6,FALSE)))^(1/3)-1,""))</f>
        <v/>
      </c>
      <c r="Q817" s="376">
        <v>4.4999999999999998E-2</v>
      </c>
    </row>
    <row r="818" spans="2:17" ht="36" hidden="1" outlineLevel="1">
      <c r="D818" s="52">
        <v>5</v>
      </c>
      <c r="E818" s="293" t="s">
        <v>283</v>
      </c>
      <c r="F818" s="19" t="s">
        <v>256</v>
      </c>
      <c r="G818" s="315"/>
      <c r="H818" s="6"/>
      <c r="K818" s="375"/>
      <c r="L818" s="375"/>
      <c r="M818" s="375"/>
      <c r="N818" s="375"/>
      <c r="O818" s="125" t="s">
        <v>284</v>
      </c>
      <c r="P818" s="125" t="str">
        <f>IF(AND(COUNTA($G825:$Q825)&gt;0,SUMIF($G825:$Q825,"&lt;&gt;"&amp;"")=0),"－",IFERROR(((HLOOKUP(EDATE($F$13,36),$G821:$Q829,8,FALSE))/(HLOOKUP(EDATE($F$13,0),$G821:$Q829,8,FALSE)))^(1/3)-1,""))</f>
        <v/>
      </c>
      <c r="Q818" s="377"/>
    </row>
    <row r="819" spans="2:17" hidden="1" outlineLevel="1">
      <c r="D819" s="35"/>
      <c r="E819" s="316" t="s">
        <v>257</v>
      </c>
      <c r="F819" s="34"/>
      <c r="G819" s="1" t="s">
        <v>179</v>
      </c>
    </row>
    <row r="820" spans="2:17" hidden="1" outlineLevel="1">
      <c r="E820" s="308"/>
      <c r="G820" s="64" t="s">
        <v>181</v>
      </c>
      <c r="H820" s="64" t="s">
        <v>182</v>
      </c>
      <c r="I820" s="64" t="s">
        <v>183</v>
      </c>
      <c r="J820" s="132" t="s">
        <v>184</v>
      </c>
      <c r="K820" s="132"/>
      <c r="L820" s="132"/>
      <c r="M820" s="132"/>
      <c r="N820" s="132"/>
      <c r="O820" s="132"/>
      <c r="P820" s="132"/>
      <c r="Q820" s="132"/>
    </row>
    <row r="821" spans="2:17" hidden="1" outlineLevel="1">
      <c r="D821" s="11"/>
      <c r="E821" s="206"/>
      <c r="F821" s="56"/>
      <c r="G821" s="63" t="str">
        <f>IF($I821="","",EDATE(H821,-12))</f>
        <v/>
      </c>
      <c r="H821" s="63" t="str">
        <f>IF($I821="","",EDATE(I821,-12))</f>
        <v/>
      </c>
      <c r="I821" s="63" t="str">
        <f>IF($I$12="","",$I$12)</f>
        <v/>
      </c>
      <c r="J821" s="63" t="str">
        <f t="shared" ref="J821:Q821" si="214">IF($I821="","",EDATE(I821,12))</f>
        <v/>
      </c>
      <c r="K821" s="63" t="str">
        <f t="shared" si="214"/>
        <v/>
      </c>
      <c r="L821" s="63" t="str">
        <f t="shared" si="214"/>
        <v/>
      </c>
      <c r="M821" s="63" t="str">
        <f t="shared" si="214"/>
        <v/>
      </c>
      <c r="N821" s="63" t="str">
        <f t="shared" si="214"/>
        <v/>
      </c>
      <c r="O821" s="63" t="str">
        <f t="shared" si="214"/>
        <v/>
      </c>
      <c r="P821" s="63" t="str">
        <f t="shared" si="214"/>
        <v/>
      </c>
      <c r="Q821" s="63" t="str">
        <f t="shared" si="214"/>
        <v/>
      </c>
    </row>
    <row r="822" spans="2:17" hidden="1" outlineLevel="1">
      <c r="D822" s="52">
        <v>6</v>
      </c>
      <c r="E822" s="293" t="s">
        <v>206</v>
      </c>
      <c r="F822" s="55"/>
      <c r="G822" s="138"/>
      <c r="H822" s="138"/>
      <c r="I822" s="138"/>
      <c r="J822" s="138"/>
      <c r="K822" s="138"/>
      <c r="L822" s="138"/>
      <c r="M822" s="138"/>
      <c r="N822" s="138"/>
      <c r="O822" s="138"/>
      <c r="P822" s="106"/>
      <c r="Q822" s="106"/>
    </row>
    <row r="823" spans="2:17" hidden="1" outlineLevel="1">
      <c r="C823" s="9"/>
      <c r="D823" s="52">
        <v>7</v>
      </c>
      <c r="E823" s="293" t="s">
        <v>207</v>
      </c>
      <c r="F823" s="55"/>
      <c r="G823" s="138"/>
      <c r="H823" s="106"/>
      <c r="I823" s="139"/>
      <c r="J823" s="106"/>
      <c r="K823" s="106"/>
      <c r="L823" s="154"/>
      <c r="M823" s="106"/>
      <c r="N823" s="106"/>
      <c r="O823" s="106"/>
      <c r="P823" s="106"/>
      <c r="Q823" s="106"/>
    </row>
    <row r="824" spans="2:17" hidden="1" outlineLevel="1">
      <c r="C824" s="9"/>
      <c r="D824" s="5">
        <v>8</v>
      </c>
      <c r="E824" s="303" t="s">
        <v>210</v>
      </c>
      <c r="F824" s="20" t="s">
        <v>211</v>
      </c>
      <c r="G824" s="306"/>
      <c r="H824" s="306"/>
      <c r="I824" s="306"/>
      <c r="J824" s="306"/>
      <c r="K824" s="306"/>
      <c r="L824" s="306"/>
      <c r="M824" s="306"/>
      <c r="N824" s="306"/>
      <c r="O824" s="306"/>
      <c r="P824" s="229"/>
      <c r="Q824" s="229"/>
    </row>
    <row r="825" spans="2:17" hidden="1" outlineLevel="1">
      <c r="C825" s="9"/>
      <c r="D825" s="52">
        <v>9</v>
      </c>
      <c r="E825" s="293" t="s">
        <v>212</v>
      </c>
      <c r="F825" s="55" t="s">
        <v>287</v>
      </c>
      <c r="G825" s="306"/>
      <c r="H825" s="229"/>
      <c r="I825" s="307"/>
      <c r="J825" s="229"/>
      <c r="K825" s="229"/>
      <c r="L825" s="229"/>
      <c r="M825" s="229"/>
      <c r="N825" s="229"/>
      <c r="O825" s="229"/>
      <c r="P825" s="229"/>
      <c r="Q825" s="229"/>
    </row>
    <row r="826" spans="2:17" hidden="1" outlineLevel="1">
      <c r="C826" s="9"/>
      <c r="D826" s="7">
        <v>10</v>
      </c>
      <c r="E826" s="310" t="s">
        <v>213</v>
      </c>
      <c r="F826" s="22"/>
      <c r="G826" s="12" t="str">
        <f>IFERROR(+G822/G824,"")</f>
        <v/>
      </c>
      <c r="H826" s="13" t="str">
        <f>IFERROR(+H822/H824,"")</f>
        <v/>
      </c>
      <c r="I826" s="16" t="str">
        <f t="shared" ref="I826:Q826" si="215">IFERROR(+I822/I824,"")</f>
        <v/>
      </c>
      <c r="J826" s="13" t="str">
        <f t="shared" si="215"/>
        <v/>
      </c>
      <c r="K826" s="13" t="str">
        <f t="shared" si="215"/>
        <v/>
      </c>
      <c r="L826" s="13" t="str">
        <f t="shared" si="215"/>
        <v/>
      </c>
      <c r="M826" s="13" t="str">
        <f t="shared" si="215"/>
        <v/>
      </c>
      <c r="N826" s="13" t="str">
        <f t="shared" si="215"/>
        <v/>
      </c>
      <c r="O826" s="13" t="str">
        <f t="shared" si="215"/>
        <v/>
      </c>
      <c r="P826" s="13" t="str">
        <f t="shared" si="215"/>
        <v/>
      </c>
      <c r="Q826" s="13" t="str">
        <f t="shared" si="215"/>
        <v/>
      </c>
    </row>
    <row r="827" spans="2:17" hidden="1" outlineLevel="1">
      <c r="C827" s="9"/>
      <c r="D827" s="7">
        <v>11</v>
      </c>
      <c r="E827" s="310" t="s">
        <v>214</v>
      </c>
      <c r="F827" s="22" t="s">
        <v>215</v>
      </c>
      <c r="G827" s="14"/>
      <c r="H827" s="48" t="str">
        <f t="shared" ref="H827:Q827" si="216">IFERROR((H826-G826)/G826,"")</f>
        <v/>
      </c>
      <c r="I827" s="49" t="str">
        <f t="shared" si="216"/>
        <v/>
      </c>
      <c r="J827" s="48" t="str">
        <f t="shared" si="216"/>
        <v/>
      </c>
      <c r="K827" s="48" t="str">
        <f>IFERROR((K826-J826)/J826,"")</f>
        <v/>
      </c>
      <c r="L827" s="48" t="str">
        <f t="shared" si="216"/>
        <v/>
      </c>
      <c r="M827" s="48" t="str">
        <f t="shared" si="216"/>
        <v/>
      </c>
      <c r="N827" s="48" t="str">
        <f t="shared" si="216"/>
        <v/>
      </c>
      <c r="O827" s="48" t="str">
        <f t="shared" si="216"/>
        <v/>
      </c>
      <c r="P827" s="48" t="str">
        <f t="shared" si="216"/>
        <v/>
      </c>
      <c r="Q827" s="48" t="str">
        <f t="shared" si="216"/>
        <v/>
      </c>
    </row>
    <row r="828" spans="2:17" hidden="1" outlineLevel="1">
      <c r="C828" s="9"/>
      <c r="D828" s="7">
        <v>12</v>
      </c>
      <c r="E828" s="310" t="s">
        <v>216</v>
      </c>
      <c r="F828" s="21"/>
      <c r="G828" s="70" t="str">
        <f t="shared" ref="G828:Q828" si="217">IFERROR(+G823/G825,"")</f>
        <v/>
      </c>
      <c r="H828" s="71" t="str">
        <f t="shared" si="217"/>
        <v/>
      </c>
      <c r="I828" s="71" t="str">
        <f t="shared" si="217"/>
        <v/>
      </c>
      <c r="J828" s="71" t="str">
        <f t="shared" si="217"/>
        <v/>
      </c>
      <c r="K828" s="71" t="str">
        <f t="shared" si="217"/>
        <v/>
      </c>
      <c r="L828" s="71" t="str">
        <f t="shared" si="217"/>
        <v/>
      </c>
      <c r="M828" s="71" t="str">
        <f t="shared" si="217"/>
        <v/>
      </c>
      <c r="N828" s="71" t="str">
        <f t="shared" si="217"/>
        <v/>
      </c>
      <c r="O828" s="71" t="str">
        <f t="shared" si="217"/>
        <v/>
      </c>
      <c r="P828" s="71" t="str">
        <f t="shared" si="217"/>
        <v/>
      </c>
      <c r="Q828" s="71" t="str">
        <f t="shared" si="217"/>
        <v/>
      </c>
    </row>
    <row r="829" spans="2:17" hidden="1" outlineLevel="1">
      <c r="D829" s="7">
        <v>13</v>
      </c>
      <c r="E829" s="310" t="s">
        <v>217</v>
      </c>
      <c r="F829" s="21" t="s">
        <v>218</v>
      </c>
      <c r="G829" s="14"/>
      <c r="H829" s="48" t="str">
        <f t="shared" ref="H829:Q829" si="218">IFERROR((H828-G828)/G828,"")</f>
        <v/>
      </c>
      <c r="I829" s="49" t="str">
        <f t="shared" si="218"/>
        <v/>
      </c>
      <c r="J829" s="48" t="str">
        <f t="shared" si="218"/>
        <v/>
      </c>
      <c r="K829" s="48" t="str">
        <f t="shared" si="218"/>
        <v/>
      </c>
      <c r="L829" s="48" t="str">
        <f t="shared" si="218"/>
        <v/>
      </c>
      <c r="M829" s="48" t="str">
        <f t="shared" si="218"/>
        <v/>
      </c>
      <c r="N829" s="48" t="str">
        <f t="shared" si="218"/>
        <v/>
      </c>
      <c r="O829" s="48" t="str">
        <f t="shared" si="218"/>
        <v/>
      </c>
      <c r="P829" s="48" t="str">
        <f t="shared" si="218"/>
        <v/>
      </c>
      <c r="Q829" s="48" t="str">
        <f t="shared" si="218"/>
        <v/>
      </c>
    </row>
    <row r="830" spans="2:17" collapsed="1">
      <c r="E830" s="314"/>
    </row>
    <row r="831" spans="2:17" ht="18.5" thickBot="1">
      <c r="B831" s="69"/>
      <c r="C831" s="46" t="s">
        <v>329</v>
      </c>
      <c r="D831" s="4"/>
      <c r="E831" s="308"/>
      <c r="F831" s="240" t="str">
        <f>IF(G832="","","折りたたまれたセルのグループ（非表示行）を展開して、入力項目を入力してください。")</f>
        <v/>
      </c>
      <c r="L831" s="51"/>
    </row>
    <row r="832" spans="2:17" ht="50.15" customHeight="1" thickBot="1">
      <c r="D832" s="128">
        <v>1</v>
      </c>
      <c r="E832" s="311" t="s">
        <v>275</v>
      </c>
      <c r="F832" s="129"/>
      <c r="G832" s="130" t="str">
        <f>IF($P$106="","",$P$106)</f>
        <v/>
      </c>
    </row>
    <row r="833" spans="3:17" hidden="1" outlineLevel="1">
      <c r="D833" s="52">
        <v>2</v>
      </c>
      <c r="E833" s="312" t="s">
        <v>292</v>
      </c>
      <c r="F833" s="57" t="s">
        <v>241</v>
      </c>
      <c r="G833" s="144"/>
    </row>
    <row r="834" spans="3:17" ht="33" hidden="1" outlineLevel="1">
      <c r="D834" s="52">
        <v>3</v>
      </c>
      <c r="E834" s="312" t="s">
        <v>277</v>
      </c>
      <c r="F834" s="30" t="s">
        <v>241</v>
      </c>
      <c r="G834" s="141"/>
      <c r="K834" s="375" t="s">
        <v>278</v>
      </c>
      <c r="L834" s="375"/>
      <c r="M834" s="375"/>
      <c r="N834" s="375"/>
      <c r="O834" s="196"/>
      <c r="P834" s="195" t="s">
        <v>279</v>
      </c>
      <c r="Q834" s="50" t="s">
        <v>280</v>
      </c>
    </row>
    <row r="835" spans="3:17" hidden="1" outlineLevel="1">
      <c r="D835" s="52">
        <v>4</v>
      </c>
      <c r="E835" s="293" t="s">
        <v>281</v>
      </c>
      <c r="F835" s="19" t="s">
        <v>241</v>
      </c>
      <c r="G835" s="141"/>
      <c r="H835" s="6"/>
      <c r="K835" s="375"/>
      <c r="L835" s="375"/>
      <c r="M835" s="375"/>
      <c r="N835" s="375"/>
      <c r="O835" s="125" t="s">
        <v>282</v>
      </c>
      <c r="P835" s="131" t="str">
        <f>IF(AND(COUNTA($G842:$Q842)&gt;0,SUMIF($G842:$Q842,"&lt;&gt;"&amp;"")=0),"－",IFERROR(((HLOOKUP(EDATE($F$13,36),$G839:$Q847,6,FALSE))/(HLOOKUP(EDATE($F$13,0),$G839:$Q847,6,FALSE)))^(1/3)-1,""))</f>
        <v/>
      </c>
      <c r="Q835" s="376">
        <v>4.4999999999999998E-2</v>
      </c>
    </row>
    <row r="836" spans="3:17" ht="36" hidden="1" outlineLevel="1">
      <c r="D836" s="52">
        <v>5</v>
      </c>
      <c r="E836" s="293" t="s">
        <v>283</v>
      </c>
      <c r="F836" s="19" t="s">
        <v>256</v>
      </c>
      <c r="G836" s="315"/>
      <c r="H836" s="6"/>
      <c r="K836" s="375"/>
      <c r="L836" s="375"/>
      <c r="M836" s="375"/>
      <c r="N836" s="375"/>
      <c r="O836" s="125" t="s">
        <v>284</v>
      </c>
      <c r="P836" s="125" t="str">
        <f>IF(AND(COUNTA($G843:$Q843)&gt;0,SUMIF($G843:$Q843,"&lt;&gt;"&amp;"")=0),"－",IFERROR(((HLOOKUP(EDATE($F$13,36),$G839:$Q847,8,FALSE))/(HLOOKUP(EDATE($F$13,0),$G839:$Q847,8,FALSE)))^(1/3)-1,""))</f>
        <v/>
      </c>
      <c r="Q836" s="377"/>
    </row>
    <row r="837" spans="3:17" hidden="1" outlineLevel="1">
      <c r="D837" s="35"/>
      <c r="E837" s="316" t="s">
        <v>257</v>
      </c>
      <c r="F837" s="34"/>
      <c r="G837" s="1" t="s">
        <v>179</v>
      </c>
    </row>
    <row r="838" spans="3:17" hidden="1" outlineLevel="1">
      <c r="E838" s="308"/>
      <c r="G838" s="64" t="s">
        <v>181</v>
      </c>
      <c r="H838" s="64" t="s">
        <v>182</v>
      </c>
      <c r="I838" s="64" t="s">
        <v>183</v>
      </c>
      <c r="J838" s="132" t="s">
        <v>184</v>
      </c>
      <c r="K838" s="132"/>
      <c r="L838" s="132"/>
      <c r="M838" s="132"/>
      <c r="N838" s="132"/>
      <c r="O838" s="132"/>
      <c r="P838" s="132"/>
      <c r="Q838" s="132"/>
    </row>
    <row r="839" spans="3:17" hidden="1" outlineLevel="1">
      <c r="D839" s="11"/>
      <c r="E839" s="206"/>
      <c r="F839" s="56"/>
      <c r="G839" s="63" t="str">
        <f>IF($I839="","",EDATE(H839,-12))</f>
        <v/>
      </c>
      <c r="H839" s="63" t="str">
        <f>IF($I839="","",EDATE(I839,-12))</f>
        <v/>
      </c>
      <c r="I839" s="63" t="str">
        <f>IF($I$12="","",$I$12)</f>
        <v/>
      </c>
      <c r="J839" s="63" t="str">
        <f t="shared" ref="J839:Q839" si="219">IF($I839="","",EDATE(I839,12))</f>
        <v/>
      </c>
      <c r="K839" s="63" t="str">
        <f t="shared" si="219"/>
        <v/>
      </c>
      <c r="L839" s="63" t="str">
        <f t="shared" si="219"/>
        <v/>
      </c>
      <c r="M839" s="63" t="str">
        <f t="shared" si="219"/>
        <v/>
      </c>
      <c r="N839" s="63" t="str">
        <f t="shared" si="219"/>
        <v/>
      </c>
      <c r="O839" s="63" t="str">
        <f t="shared" si="219"/>
        <v/>
      </c>
      <c r="P839" s="63" t="str">
        <f t="shared" si="219"/>
        <v/>
      </c>
      <c r="Q839" s="63" t="str">
        <f t="shared" si="219"/>
        <v/>
      </c>
    </row>
    <row r="840" spans="3:17" hidden="1" outlineLevel="1">
      <c r="D840" s="52">
        <v>6</v>
      </c>
      <c r="E840" s="293" t="s">
        <v>206</v>
      </c>
      <c r="F840" s="55"/>
      <c r="G840" s="138"/>
      <c r="H840" s="138"/>
      <c r="I840" s="138"/>
      <c r="J840" s="138"/>
      <c r="K840" s="138"/>
      <c r="L840" s="138"/>
      <c r="M840" s="138"/>
      <c r="N840" s="138"/>
      <c r="O840" s="138"/>
      <c r="P840" s="106"/>
      <c r="Q840" s="106"/>
    </row>
    <row r="841" spans="3:17" hidden="1" outlineLevel="1">
      <c r="C841" s="9"/>
      <c r="D841" s="52">
        <v>7</v>
      </c>
      <c r="E841" s="293" t="s">
        <v>207</v>
      </c>
      <c r="F841" s="55"/>
      <c r="G841" s="138"/>
      <c r="H841" s="106"/>
      <c r="I841" s="139"/>
      <c r="J841" s="106"/>
      <c r="K841" s="106"/>
      <c r="L841" s="154"/>
      <c r="M841" s="106"/>
      <c r="N841" s="106"/>
      <c r="O841" s="106"/>
      <c r="P841" s="106"/>
      <c r="Q841" s="106"/>
    </row>
    <row r="842" spans="3:17" hidden="1" outlineLevel="1">
      <c r="C842" s="9"/>
      <c r="D842" s="5">
        <v>8</v>
      </c>
      <c r="E842" s="303" t="s">
        <v>210</v>
      </c>
      <c r="F842" s="20" t="s">
        <v>211</v>
      </c>
      <c r="G842" s="306"/>
      <c r="H842" s="306"/>
      <c r="I842" s="306"/>
      <c r="J842" s="306"/>
      <c r="K842" s="306"/>
      <c r="L842" s="306"/>
      <c r="M842" s="306"/>
      <c r="N842" s="306"/>
      <c r="O842" s="306"/>
      <c r="P842" s="229"/>
      <c r="Q842" s="229"/>
    </row>
    <row r="843" spans="3:17" hidden="1" outlineLevel="1">
      <c r="C843" s="9"/>
      <c r="D843" s="52">
        <v>9</v>
      </c>
      <c r="E843" s="293" t="s">
        <v>212</v>
      </c>
      <c r="F843" s="55" t="s">
        <v>287</v>
      </c>
      <c r="G843" s="306"/>
      <c r="H843" s="229"/>
      <c r="I843" s="307"/>
      <c r="J843" s="229"/>
      <c r="K843" s="229"/>
      <c r="L843" s="229"/>
      <c r="M843" s="229"/>
      <c r="N843" s="229"/>
      <c r="O843" s="229"/>
      <c r="P843" s="229"/>
      <c r="Q843" s="229"/>
    </row>
    <row r="844" spans="3:17" hidden="1" outlineLevel="1">
      <c r="C844" s="9"/>
      <c r="D844" s="7">
        <v>10</v>
      </c>
      <c r="E844" s="310" t="s">
        <v>213</v>
      </c>
      <c r="F844" s="22"/>
      <c r="G844" s="12" t="str">
        <f>IFERROR(+G840/G842,"")</f>
        <v/>
      </c>
      <c r="H844" s="13" t="str">
        <f>IFERROR(+H840/H842,"")</f>
        <v/>
      </c>
      <c r="I844" s="16" t="str">
        <f t="shared" ref="I844:Q844" si="220">IFERROR(+I840/I842,"")</f>
        <v/>
      </c>
      <c r="J844" s="13" t="str">
        <f t="shared" si="220"/>
        <v/>
      </c>
      <c r="K844" s="13" t="str">
        <f t="shared" si="220"/>
        <v/>
      </c>
      <c r="L844" s="13" t="str">
        <f t="shared" si="220"/>
        <v/>
      </c>
      <c r="M844" s="13" t="str">
        <f t="shared" si="220"/>
        <v/>
      </c>
      <c r="N844" s="13" t="str">
        <f t="shared" si="220"/>
        <v/>
      </c>
      <c r="O844" s="13" t="str">
        <f t="shared" si="220"/>
        <v/>
      </c>
      <c r="P844" s="13" t="str">
        <f t="shared" si="220"/>
        <v/>
      </c>
      <c r="Q844" s="13" t="str">
        <f t="shared" si="220"/>
        <v/>
      </c>
    </row>
    <row r="845" spans="3:17" hidden="1" outlineLevel="1">
      <c r="C845" s="9"/>
      <c r="D845" s="7">
        <v>11</v>
      </c>
      <c r="E845" s="310" t="s">
        <v>214</v>
      </c>
      <c r="F845" s="22" t="s">
        <v>215</v>
      </c>
      <c r="G845" s="14"/>
      <c r="H845" s="48" t="str">
        <f t="shared" ref="H845:Q845" si="221">IFERROR((H844-G844)/G844,"")</f>
        <v/>
      </c>
      <c r="I845" s="49" t="str">
        <f t="shared" si="221"/>
        <v/>
      </c>
      <c r="J845" s="48" t="str">
        <f t="shared" si="221"/>
        <v/>
      </c>
      <c r="K845" s="48" t="str">
        <f>IFERROR((K844-J844)/J844,"")</f>
        <v/>
      </c>
      <c r="L845" s="48" t="str">
        <f t="shared" si="221"/>
        <v/>
      </c>
      <c r="M845" s="48" t="str">
        <f t="shared" si="221"/>
        <v/>
      </c>
      <c r="N845" s="48" t="str">
        <f t="shared" si="221"/>
        <v/>
      </c>
      <c r="O845" s="48" t="str">
        <f t="shared" si="221"/>
        <v/>
      </c>
      <c r="P845" s="48" t="str">
        <f t="shared" si="221"/>
        <v/>
      </c>
      <c r="Q845" s="48" t="str">
        <f t="shared" si="221"/>
        <v/>
      </c>
    </row>
    <row r="846" spans="3:17" hidden="1" outlineLevel="1">
      <c r="C846" s="9"/>
      <c r="D846" s="7">
        <v>12</v>
      </c>
      <c r="E846" s="310" t="s">
        <v>216</v>
      </c>
      <c r="F846" s="21"/>
      <c r="G846" s="70" t="str">
        <f t="shared" ref="G846:Q846" si="222">IFERROR(+G841/G843,"")</f>
        <v/>
      </c>
      <c r="H846" s="71" t="str">
        <f t="shared" si="222"/>
        <v/>
      </c>
      <c r="I846" s="71" t="str">
        <f t="shared" si="222"/>
        <v/>
      </c>
      <c r="J846" s="71" t="str">
        <f t="shared" si="222"/>
        <v/>
      </c>
      <c r="K846" s="71" t="str">
        <f t="shared" si="222"/>
        <v/>
      </c>
      <c r="L846" s="71" t="str">
        <f t="shared" si="222"/>
        <v/>
      </c>
      <c r="M846" s="71" t="str">
        <f t="shared" si="222"/>
        <v/>
      </c>
      <c r="N846" s="71" t="str">
        <f t="shared" si="222"/>
        <v/>
      </c>
      <c r="O846" s="71" t="str">
        <f t="shared" si="222"/>
        <v/>
      </c>
      <c r="P846" s="71" t="str">
        <f t="shared" si="222"/>
        <v/>
      </c>
      <c r="Q846" s="71" t="str">
        <f t="shared" si="222"/>
        <v/>
      </c>
    </row>
    <row r="847" spans="3:17" hidden="1" outlineLevel="1">
      <c r="D847" s="7">
        <v>13</v>
      </c>
      <c r="E847" s="310" t="s">
        <v>217</v>
      </c>
      <c r="F847" s="21" t="s">
        <v>218</v>
      </c>
      <c r="G847" s="14"/>
      <c r="H847" s="48" t="str">
        <f t="shared" ref="H847:Q847" si="223">IFERROR((H846-G846)/G846,"")</f>
        <v/>
      </c>
      <c r="I847" s="49" t="str">
        <f t="shared" si="223"/>
        <v/>
      </c>
      <c r="J847" s="48" t="str">
        <f t="shared" si="223"/>
        <v/>
      </c>
      <c r="K847" s="48" t="str">
        <f t="shared" si="223"/>
        <v/>
      </c>
      <c r="L847" s="48" t="str">
        <f t="shared" si="223"/>
        <v/>
      </c>
      <c r="M847" s="48" t="str">
        <f t="shared" si="223"/>
        <v/>
      </c>
      <c r="N847" s="48" t="str">
        <f t="shared" si="223"/>
        <v/>
      </c>
      <c r="O847" s="48" t="str">
        <f t="shared" si="223"/>
        <v/>
      </c>
      <c r="P847" s="48" t="str">
        <f t="shared" si="223"/>
        <v/>
      </c>
      <c r="Q847" s="48" t="str">
        <f t="shared" si="223"/>
        <v/>
      </c>
    </row>
    <row r="848" spans="3:17" collapsed="1">
      <c r="E848" s="314"/>
    </row>
    <row r="849" spans="2:17" ht="18.5" thickBot="1">
      <c r="B849" s="69"/>
      <c r="C849" s="46" t="s">
        <v>330</v>
      </c>
      <c r="D849" s="4"/>
      <c r="E849" s="308"/>
      <c r="F849" s="240" t="str">
        <f>IF(G850="","","折りたたまれたセルのグループ（非表示行）を展開して、入力項目を入力してください。")</f>
        <v/>
      </c>
      <c r="L849" s="51"/>
    </row>
    <row r="850" spans="2:17" ht="50.15" customHeight="1" thickBot="1">
      <c r="D850" s="128">
        <v>1</v>
      </c>
      <c r="E850" s="311" t="s">
        <v>275</v>
      </c>
      <c r="F850" s="129"/>
      <c r="G850" s="130" t="str">
        <f>IF($G$108="","",$G$108)</f>
        <v/>
      </c>
    </row>
    <row r="851" spans="2:17" hidden="1" outlineLevel="1">
      <c r="D851" s="52">
        <v>2</v>
      </c>
      <c r="E851" s="312" t="s">
        <v>292</v>
      </c>
      <c r="F851" s="57" t="s">
        <v>241</v>
      </c>
      <c r="G851" s="144"/>
    </row>
    <row r="852" spans="2:17" ht="33" hidden="1" outlineLevel="1">
      <c r="D852" s="52">
        <v>3</v>
      </c>
      <c r="E852" s="312" t="s">
        <v>277</v>
      </c>
      <c r="F852" s="30" t="s">
        <v>241</v>
      </c>
      <c r="G852" s="141"/>
      <c r="K852" s="375" t="s">
        <v>278</v>
      </c>
      <c r="L852" s="375"/>
      <c r="M852" s="375"/>
      <c r="N852" s="375"/>
      <c r="O852" s="196"/>
      <c r="P852" s="195" t="s">
        <v>279</v>
      </c>
      <c r="Q852" s="50" t="s">
        <v>280</v>
      </c>
    </row>
    <row r="853" spans="2:17" hidden="1" outlineLevel="1">
      <c r="D853" s="52">
        <v>4</v>
      </c>
      <c r="E853" s="293" t="s">
        <v>281</v>
      </c>
      <c r="F853" s="19" t="s">
        <v>241</v>
      </c>
      <c r="G853" s="141"/>
      <c r="H853" s="6"/>
      <c r="K853" s="375"/>
      <c r="L853" s="375"/>
      <c r="M853" s="375"/>
      <c r="N853" s="375"/>
      <c r="O853" s="125" t="s">
        <v>282</v>
      </c>
      <c r="P853" s="131" t="str">
        <f>IF(AND(COUNTA($G860:$Q860)&gt;0,SUMIF($G860:$Q860,"&lt;&gt;"&amp;"")=0),"－",IFERROR(((HLOOKUP(EDATE($F$13,36),$G857:$Q865,6,FALSE))/(HLOOKUP(EDATE($F$13,0),$G857:$Q865,6,FALSE)))^(1/3)-1,""))</f>
        <v/>
      </c>
      <c r="Q853" s="376">
        <v>4.4999999999999998E-2</v>
      </c>
    </row>
    <row r="854" spans="2:17" ht="36" hidden="1" outlineLevel="1">
      <c r="D854" s="52">
        <v>5</v>
      </c>
      <c r="E854" s="293" t="s">
        <v>283</v>
      </c>
      <c r="F854" s="19" t="s">
        <v>256</v>
      </c>
      <c r="G854" s="315"/>
      <c r="H854" s="6"/>
      <c r="K854" s="375"/>
      <c r="L854" s="375"/>
      <c r="M854" s="375"/>
      <c r="N854" s="375"/>
      <c r="O854" s="125" t="s">
        <v>284</v>
      </c>
      <c r="P854" s="125" t="str">
        <f>IF(AND(COUNTA($G861:$Q861)&gt;0,SUMIF($G861:$Q861,"&lt;&gt;"&amp;"")=0),"－",IFERROR(((HLOOKUP(EDATE($F$13,36),$G857:$Q865,8,FALSE))/(HLOOKUP(EDATE($F$13,0),$G857:$Q865,8,FALSE)))^(1/3)-1,""))</f>
        <v/>
      </c>
      <c r="Q854" s="377"/>
    </row>
    <row r="855" spans="2:17" hidden="1" outlineLevel="1">
      <c r="D855" s="35"/>
      <c r="E855" s="316" t="s">
        <v>257</v>
      </c>
      <c r="F855" s="34"/>
      <c r="G855" s="1" t="s">
        <v>179</v>
      </c>
    </row>
    <row r="856" spans="2:17" hidden="1" outlineLevel="1">
      <c r="E856" s="308"/>
      <c r="G856" s="64" t="s">
        <v>181</v>
      </c>
      <c r="H856" s="64" t="s">
        <v>182</v>
      </c>
      <c r="I856" s="64" t="s">
        <v>183</v>
      </c>
      <c r="J856" s="132" t="s">
        <v>184</v>
      </c>
      <c r="K856" s="132"/>
      <c r="L856" s="132"/>
      <c r="M856" s="132"/>
      <c r="N856" s="132"/>
      <c r="O856" s="132"/>
      <c r="P856" s="132"/>
      <c r="Q856" s="132"/>
    </row>
    <row r="857" spans="2:17" hidden="1" outlineLevel="1">
      <c r="D857" s="11"/>
      <c r="E857" s="206"/>
      <c r="F857" s="56"/>
      <c r="G857" s="63" t="str">
        <f>IF($I857="","",EDATE(H857,-12))</f>
        <v/>
      </c>
      <c r="H857" s="63" t="str">
        <f>IF($I857="","",EDATE(I857,-12))</f>
        <v/>
      </c>
      <c r="I857" s="63" t="str">
        <f>IF($I$12="","",$I$12)</f>
        <v/>
      </c>
      <c r="J857" s="63" t="str">
        <f t="shared" ref="J857:Q857" si="224">IF($I857="","",EDATE(I857,12))</f>
        <v/>
      </c>
      <c r="K857" s="63" t="str">
        <f t="shared" si="224"/>
        <v/>
      </c>
      <c r="L857" s="63" t="str">
        <f t="shared" si="224"/>
        <v/>
      </c>
      <c r="M857" s="63" t="str">
        <f t="shared" si="224"/>
        <v/>
      </c>
      <c r="N857" s="63" t="str">
        <f t="shared" si="224"/>
        <v/>
      </c>
      <c r="O857" s="63" t="str">
        <f t="shared" si="224"/>
        <v/>
      </c>
      <c r="P857" s="63" t="str">
        <f t="shared" si="224"/>
        <v/>
      </c>
      <c r="Q857" s="63" t="str">
        <f t="shared" si="224"/>
        <v/>
      </c>
    </row>
    <row r="858" spans="2:17" hidden="1" outlineLevel="1">
      <c r="D858" s="52">
        <v>6</v>
      </c>
      <c r="E858" s="293" t="s">
        <v>206</v>
      </c>
      <c r="F858" s="55"/>
      <c r="G858" s="138"/>
      <c r="H858" s="138"/>
      <c r="I858" s="138"/>
      <c r="J858" s="138"/>
      <c r="K858" s="138"/>
      <c r="L858" s="138"/>
      <c r="M858" s="138"/>
      <c r="N858" s="138"/>
      <c r="O858" s="138"/>
      <c r="P858" s="106"/>
      <c r="Q858" s="106"/>
    </row>
    <row r="859" spans="2:17" hidden="1" outlineLevel="1">
      <c r="C859" s="9"/>
      <c r="D859" s="52">
        <v>7</v>
      </c>
      <c r="E859" s="293" t="s">
        <v>207</v>
      </c>
      <c r="F859" s="55"/>
      <c r="G859" s="138"/>
      <c r="H859" s="106"/>
      <c r="I859" s="139"/>
      <c r="J859" s="106"/>
      <c r="K859" s="106"/>
      <c r="L859" s="154"/>
      <c r="M859" s="106"/>
      <c r="N859" s="106"/>
      <c r="O859" s="106"/>
      <c r="P859" s="106"/>
      <c r="Q859" s="106"/>
    </row>
    <row r="860" spans="2:17" hidden="1" outlineLevel="1">
      <c r="C860" s="9"/>
      <c r="D860" s="5">
        <v>8</v>
      </c>
      <c r="E860" s="303" t="s">
        <v>210</v>
      </c>
      <c r="F860" s="20" t="s">
        <v>211</v>
      </c>
      <c r="G860" s="306"/>
      <c r="H860" s="306"/>
      <c r="I860" s="306"/>
      <c r="J860" s="306"/>
      <c r="K860" s="306"/>
      <c r="L860" s="306"/>
      <c r="M860" s="306"/>
      <c r="N860" s="306"/>
      <c r="O860" s="306"/>
      <c r="P860" s="229"/>
      <c r="Q860" s="229"/>
    </row>
    <row r="861" spans="2:17" hidden="1" outlineLevel="1">
      <c r="C861" s="9"/>
      <c r="D861" s="52">
        <v>9</v>
      </c>
      <c r="E861" s="293" t="s">
        <v>212</v>
      </c>
      <c r="F861" s="55" t="s">
        <v>287</v>
      </c>
      <c r="G861" s="306"/>
      <c r="H861" s="229"/>
      <c r="I861" s="307"/>
      <c r="J861" s="229"/>
      <c r="K861" s="229"/>
      <c r="L861" s="229"/>
      <c r="M861" s="229"/>
      <c r="N861" s="229"/>
      <c r="O861" s="229"/>
      <c r="P861" s="229"/>
      <c r="Q861" s="229"/>
    </row>
    <row r="862" spans="2:17" hidden="1" outlineLevel="1">
      <c r="C862" s="9"/>
      <c r="D862" s="7">
        <v>10</v>
      </c>
      <c r="E862" s="310" t="s">
        <v>213</v>
      </c>
      <c r="F862" s="22"/>
      <c r="G862" s="12" t="str">
        <f>IFERROR(+G858/G860,"")</f>
        <v/>
      </c>
      <c r="H862" s="13" t="str">
        <f>IFERROR(+H858/H860,"")</f>
        <v/>
      </c>
      <c r="I862" s="16" t="str">
        <f t="shared" ref="I862:Q862" si="225">IFERROR(+I858/I860,"")</f>
        <v/>
      </c>
      <c r="J862" s="13" t="str">
        <f t="shared" si="225"/>
        <v/>
      </c>
      <c r="K862" s="13" t="str">
        <f t="shared" si="225"/>
        <v/>
      </c>
      <c r="L862" s="13" t="str">
        <f t="shared" si="225"/>
        <v/>
      </c>
      <c r="M862" s="13" t="str">
        <f t="shared" si="225"/>
        <v/>
      </c>
      <c r="N862" s="13" t="str">
        <f t="shared" si="225"/>
        <v/>
      </c>
      <c r="O862" s="13" t="str">
        <f t="shared" si="225"/>
        <v/>
      </c>
      <c r="P862" s="13" t="str">
        <f t="shared" si="225"/>
        <v/>
      </c>
      <c r="Q862" s="13" t="str">
        <f t="shared" si="225"/>
        <v/>
      </c>
    </row>
    <row r="863" spans="2:17" hidden="1" outlineLevel="1">
      <c r="C863" s="9"/>
      <c r="D863" s="7">
        <v>11</v>
      </c>
      <c r="E863" s="310" t="s">
        <v>214</v>
      </c>
      <c r="F863" s="22" t="s">
        <v>215</v>
      </c>
      <c r="G863" s="14"/>
      <c r="H863" s="48" t="str">
        <f t="shared" ref="H863:Q863" si="226">IFERROR((H862-G862)/G862,"")</f>
        <v/>
      </c>
      <c r="I863" s="49" t="str">
        <f t="shared" si="226"/>
        <v/>
      </c>
      <c r="J863" s="48" t="str">
        <f t="shared" si="226"/>
        <v/>
      </c>
      <c r="K863" s="48" t="str">
        <f>IFERROR((K862-J862)/J862,"")</f>
        <v/>
      </c>
      <c r="L863" s="48" t="str">
        <f t="shared" si="226"/>
        <v/>
      </c>
      <c r="M863" s="48" t="str">
        <f t="shared" si="226"/>
        <v/>
      </c>
      <c r="N863" s="48" t="str">
        <f t="shared" si="226"/>
        <v/>
      </c>
      <c r="O863" s="48" t="str">
        <f t="shared" si="226"/>
        <v/>
      </c>
      <c r="P863" s="48" t="str">
        <f t="shared" si="226"/>
        <v/>
      </c>
      <c r="Q863" s="48" t="str">
        <f t="shared" si="226"/>
        <v/>
      </c>
    </row>
    <row r="864" spans="2:17" hidden="1" outlineLevel="1">
      <c r="C864" s="9"/>
      <c r="D864" s="7">
        <v>12</v>
      </c>
      <c r="E864" s="310" t="s">
        <v>216</v>
      </c>
      <c r="F864" s="21"/>
      <c r="G864" s="70" t="str">
        <f t="shared" ref="G864:Q864" si="227">IFERROR(+G859/G861,"")</f>
        <v/>
      </c>
      <c r="H864" s="71" t="str">
        <f t="shared" si="227"/>
        <v/>
      </c>
      <c r="I864" s="71" t="str">
        <f t="shared" si="227"/>
        <v/>
      </c>
      <c r="J864" s="71" t="str">
        <f t="shared" si="227"/>
        <v/>
      </c>
      <c r="K864" s="71" t="str">
        <f t="shared" si="227"/>
        <v/>
      </c>
      <c r="L864" s="71" t="str">
        <f t="shared" si="227"/>
        <v/>
      </c>
      <c r="M864" s="71" t="str">
        <f t="shared" si="227"/>
        <v/>
      </c>
      <c r="N864" s="71" t="str">
        <f t="shared" si="227"/>
        <v/>
      </c>
      <c r="O864" s="71" t="str">
        <f t="shared" si="227"/>
        <v/>
      </c>
      <c r="P864" s="71" t="str">
        <f t="shared" si="227"/>
        <v/>
      </c>
      <c r="Q864" s="71" t="str">
        <f t="shared" si="227"/>
        <v/>
      </c>
    </row>
    <row r="865" spans="2:17" hidden="1" outlineLevel="1">
      <c r="D865" s="7">
        <v>13</v>
      </c>
      <c r="E865" s="310" t="s">
        <v>217</v>
      </c>
      <c r="F865" s="21" t="s">
        <v>218</v>
      </c>
      <c r="G865" s="14"/>
      <c r="H865" s="48" t="str">
        <f t="shared" ref="H865:Q865" si="228">IFERROR((H864-G864)/G864,"")</f>
        <v/>
      </c>
      <c r="I865" s="49" t="str">
        <f t="shared" si="228"/>
        <v/>
      </c>
      <c r="J865" s="48" t="str">
        <f t="shared" si="228"/>
        <v/>
      </c>
      <c r="K865" s="48" t="str">
        <f t="shared" si="228"/>
        <v/>
      </c>
      <c r="L865" s="48" t="str">
        <f t="shared" si="228"/>
        <v/>
      </c>
      <c r="M865" s="48" t="str">
        <f t="shared" si="228"/>
        <v/>
      </c>
      <c r="N865" s="48" t="str">
        <f t="shared" si="228"/>
        <v/>
      </c>
      <c r="O865" s="48" t="str">
        <f t="shared" si="228"/>
        <v/>
      </c>
      <c r="P865" s="48" t="str">
        <f t="shared" si="228"/>
        <v/>
      </c>
      <c r="Q865" s="48" t="str">
        <f t="shared" si="228"/>
        <v/>
      </c>
    </row>
    <row r="866" spans="2:17" collapsed="1">
      <c r="E866" s="314"/>
    </row>
    <row r="867" spans="2:17" ht="18.5" thickBot="1">
      <c r="B867" s="69"/>
      <c r="C867" s="46" t="s">
        <v>331</v>
      </c>
      <c r="D867" s="4"/>
      <c r="E867" s="308"/>
      <c r="F867" s="240" t="str">
        <f>IF(G868="","","折りたたまれたセルのグループ（非表示行）を展開して、入力項目を入力してください。")</f>
        <v/>
      </c>
      <c r="L867" s="51"/>
    </row>
    <row r="868" spans="2:17" ht="50.15" customHeight="1" thickBot="1">
      <c r="D868" s="128">
        <v>1</v>
      </c>
      <c r="E868" s="311" t="s">
        <v>275</v>
      </c>
      <c r="F868" s="129"/>
      <c r="G868" s="130" t="str">
        <f>IF($H$108="","",$H$108)</f>
        <v/>
      </c>
    </row>
    <row r="869" spans="2:17" hidden="1" outlineLevel="1">
      <c r="D869" s="52">
        <v>2</v>
      </c>
      <c r="E869" s="312" t="s">
        <v>292</v>
      </c>
      <c r="F869" s="57" t="s">
        <v>241</v>
      </c>
      <c r="G869" s="144"/>
    </row>
    <row r="870" spans="2:17" ht="33" hidden="1" outlineLevel="1">
      <c r="D870" s="52">
        <v>3</v>
      </c>
      <c r="E870" s="312" t="s">
        <v>277</v>
      </c>
      <c r="F870" s="30" t="s">
        <v>241</v>
      </c>
      <c r="G870" s="141"/>
      <c r="K870" s="375" t="s">
        <v>278</v>
      </c>
      <c r="L870" s="375"/>
      <c r="M870" s="375"/>
      <c r="N870" s="375"/>
      <c r="O870" s="196"/>
      <c r="P870" s="195" t="s">
        <v>279</v>
      </c>
      <c r="Q870" s="50" t="s">
        <v>280</v>
      </c>
    </row>
    <row r="871" spans="2:17" hidden="1" outlineLevel="1">
      <c r="D871" s="52">
        <v>4</v>
      </c>
      <c r="E871" s="293" t="s">
        <v>281</v>
      </c>
      <c r="F871" s="19" t="s">
        <v>241</v>
      </c>
      <c r="G871" s="141"/>
      <c r="H871" s="6"/>
      <c r="K871" s="375"/>
      <c r="L871" s="375"/>
      <c r="M871" s="375"/>
      <c r="N871" s="375"/>
      <c r="O871" s="125" t="s">
        <v>282</v>
      </c>
      <c r="P871" s="131" t="str">
        <f>IF(AND(COUNTA($G878:$Q878)&gt;0,SUMIF($G878:$Q878,"&lt;&gt;"&amp;"")=0),"－",IFERROR(((HLOOKUP(EDATE($F$13,36),$G875:$Q883,6,FALSE))/(HLOOKUP(EDATE($F$13,0),$G875:$Q883,6,FALSE)))^(1/3)-1,""))</f>
        <v/>
      </c>
      <c r="Q871" s="376">
        <v>4.4999999999999998E-2</v>
      </c>
    </row>
    <row r="872" spans="2:17" ht="36" hidden="1" outlineLevel="1">
      <c r="D872" s="52">
        <v>5</v>
      </c>
      <c r="E872" s="293" t="s">
        <v>283</v>
      </c>
      <c r="F872" s="19" t="s">
        <v>256</v>
      </c>
      <c r="G872" s="315"/>
      <c r="H872" s="6"/>
      <c r="K872" s="375"/>
      <c r="L872" s="375"/>
      <c r="M872" s="375"/>
      <c r="N872" s="375"/>
      <c r="O872" s="125" t="s">
        <v>284</v>
      </c>
      <c r="P872" s="125" t="str">
        <f>IF(AND(COUNTA($G879:$Q879)&gt;0,SUMIF($G879:$Q879,"&lt;&gt;"&amp;"")=0),"－",IFERROR(((HLOOKUP(EDATE($F$13,36),$G875:$Q883,8,FALSE))/(HLOOKUP(EDATE($F$13,0),$G875:$Q883,8,FALSE)))^(1/3)-1,""))</f>
        <v/>
      </c>
      <c r="Q872" s="377"/>
    </row>
    <row r="873" spans="2:17" hidden="1" outlineLevel="1">
      <c r="D873" s="35"/>
      <c r="E873" s="316" t="s">
        <v>257</v>
      </c>
      <c r="F873" s="34"/>
      <c r="G873" s="1" t="s">
        <v>179</v>
      </c>
    </row>
    <row r="874" spans="2:17" hidden="1" outlineLevel="1">
      <c r="E874" s="308"/>
      <c r="G874" s="64" t="s">
        <v>181</v>
      </c>
      <c r="H874" s="64" t="s">
        <v>182</v>
      </c>
      <c r="I874" s="64" t="s">
        <v>183</v>
      </c>
      <c r="J874" s="132" t="s">
        <v>184</v>
      </c>
      <c r="K874" s="132"/>
      <c r="L874" s="132"/>
      <c r="M874" s="132"/>
      <c r="N874" s="132"/>
      <c r="O874" s="132"/>
      <c r="P874" s="132"/>
      <c r="Q874" s="132"/>
    </row>
    <row r="875" spans="2:17" hidden="1" outlineLevel="1">
      <c r="D875" s="11"/>
      <c r="E875" s="206"/>
      <c r="F875" s="56"/>
      <c r="G875" s="63" t="str">
        <f>IF($I875="","",EDATE(H875,-12))</f>
        <v/>
      </c>
      <c r="H875" s="63" t="str">
        <f>IF($I875="","",EDATE(I875,-12))</f>
        <v/>
      </c>
      <c r="I875" s="63" t="str">
        <f>IF($I$12="","",$I$12)</f>
        <v/>
      </c>
      <c r="J875" s="63" t="str">
        <f t="shared" ref="J875:Q875" si="229">IF($I875="","",EDATE(I875,12))</f>
        <v/>
      </c>
      <c r="K875" s="63" t="str">
        <f t="shared" si="229"/>
        <v/>
      </c>
      <c r="L875" s="63" t="str">
        <f t="shared" si="229"/>
        <v/>
      </c>
      <c r="M875" s="63" t="str">
        <f t="shared" si="229"/>
        <v/>
      </c>
      <c r="N875" s="63" t="str">
        <f t="shared" si="229"/>
        <v/>
      </c>
      <c r="O875" s="63" t="str">
        <f t="shared" si="229"/>
        <v/>
      </c>
      <c r="P875" s="63" t="str">
        <f t="shared" si="229"/>
        <v/>
      </c>
      <c r="Q875" s="63" t="str">
        <f t="shared" si="229"/>
        <v/>
      </c>
    </row>
    <row r="876" spans="2:17" hidden="1" outlineLevel="1">
      <c r="D876" s="52">
        <v>6</v>
      </c>
      <c r="E876" s="293" t="s">
        <v>206</v>
      </c>
      <c r="F876" s="55"/>
      <c r="G876" s="138"/>
      <c r="H876" s="138"/>
      <c r="I876" s="138"/>
      <c r="J876" s="138"/>
      <c r="K876" s="138"/>
      <c r="L876" s="138"/>
      <c r="M876" s="138"/>
      <c r="N876" s="138"/>
      <c r="O876" s="138"/>
      <c r="P876" s="106"/>
      <c r="Q876" s="106"/>
    </row>
    <row r="877" spans="2:17" hidden="1" outlineLevel="1">
      <c r="C877" s="9"/>
      <c r="D877" s="52">
        <v>7</v>
      </c>
      <c r="E877" s="293" t="s">
        <v>207</v>
      </c>
      <c r="F877" s="55"/>
      <c r="G877" s="138"/>
      <c r="H877" s="106"/>
      <c r="I877" s="139"/>
      <c r="J877" s="106"/>
      <c r="K877" s="106"/>
      <c r="L877" s="154"/>
      <c r="M877" s="106"/>
      <c r="N877" s="106"/>
      <c r="O877" s="106"/>
      <c r="P877" s="106"/>
      <c r="Q877" s="106"/>
    </row>
    <row r="878" spans="2:17" hidden="1" outlineLevel="1">
      <c r="C878" s="9"/>
      <c r="D878" s="5">
        <v>8</v>
      </c>
      <c r="E878" s="303" t="s">
        <v>210</v>
      </c>
      <c r="F878" s="20" t="s">
        <v>211</v>
      </c>
      <c r="G878" s="306"/>
      <c r="H878" s="306"/>
      <c r="I878" s="306"/>
      <c r="J878" s="306"/>
      <c r="K878" s="306"/>
      <c r="L878" s="306"/>
      <c r="M878" s="306"/>
      <c r="N878" s="306"/>
      <c r="O878" s="306"/>
      <c r="P878" s="229"/>
      <c r="Q878" s="229"/>
    </row>
    <row r="879" spans="2:17" hidden="1" outlineLevel="1">
      <c r="C879" s="9"/>
      <c r="D879" s="52">
        <v>9</v>
      </c>
      <c r="E879" s="293" t="s">
        <v>212</v>
      </c>
      <c r="F879" s="55" t="s">
        <v>287</v>
      </c>
      <c r="G879" s="306"/>
      <c r="H879" s="229"/>
      <c r="I879" s="307"/>
      <c r="J879" s="229"/>
      <c r="K879" s="229"/>
      <c r="L879" s="229"/>
      <c r="M879" s="229"/>
      <c r="N879" s="229"/>
      <c r="O879" s="229"/>
      <c r="P879" s="229"/>
      <c r="Q879" s="229"/>
    </row>
    <row r="880" spans="2:17" hidden="1" outlineLevel="1">
      <c r="C880" s="9"/>
      <c r="D880" s="7">
        <v>10</v>
      </c>
      <c r="E880" s="310" t="s">
        <v>213</v>
      </c>
      <c r="F880" s="22"/>
      <c r="G880" s="12" t="str">
        <f>IFERROR(+G876/G878,"")</f>
        <v/>
      </c>
      <c r="H880" s="13" t="str">
        <f>IFERROR(+H876/H878,"")</f>
        <v/>
      </c>
      <c r="I880" s="16" t="str">
        <f t="shared" ref="I880:Q880" si="230">IFERROR(+I876/I878,"")</f>
        <v/>
      </c>
      <c r="J880" s="13" t="str">
        <f t="shared" si="230"/>
        <v/>
      </c>
      <c r="K880" s="13" t="str">
        <f t="shared" si="230"/>
        <v/>
      </c>
      <c r="L880" s="13" t="str">
        <f t="shared" si="230"/>
        <v/>
      </c>
      <c r="M880" s="13" t="str">
        <f t="shared" si="230"/>
        <v/>
      </c>
      <c r="N880" s="13" t="str">
        <f t="shared" si="230"/>
        <v/>
      </c>
      <c r="O880" s="13" t="str">
        <f t="shared" si="230"/>
        <v/>
      </c>
      <c r="P880" s="13" t="str">
        <f t="shared" si="230"/>
        <v/>
      </c>
      <c r="Q880" s="13" t="str">
        <f t="shared" si="230"/>
        <v/>
      </c>
    </row>
    <row r="881" spans="2:17" hidden="1" outlineLevel="1">
      <c r="C881" s="9"/>
      <c r="D881" s="7">
        <v>11</v>
      </c>
      <c r="E881" s="310" t="s">
        <v>214</v>
      </c>
      <c r="F881" s="22" t="s">
        <v>215</v>
      </c>
      <c r="G881" s="14"/>
      <c r="H881" s="48" t="str">
        <f t="shared" ref="H881:Q881" si="231">IFERROR((H880-G880)/G880,"")</f>
        <v/>
      </c>
      <c r="I881" s="49" t="str">
        <f t="shared" si="231"/>
        <v/>
      </c>
      <c r="J881" s="48" t="str">
        <f t="shared" si="231"/>
        <v/>
      </c>
      <c r="K881" s="48" t="str">
        <f>IFERROR((K880-J880)/J880,"")</f>
        <v/>
      </c>
      <c r="L881" s="48" t="str">
        <f t="shared" si="231"/>
        <v/>
      </c>
      <c r="M881" s="48" t="str">
        <f t="shared" si="231"/>
        <v/>
      </c>
      <c r="N881" s="48" t="str">
        <f t="shared" si="231"/>
        <v/>
      </c>
      <c r="O881" s="48" t="str">
        <f t="shared" si="231"/>
        <v/>
      </c>
      <c r="P881" s="48" t="str">
        <f t="shared" si="231"/>
        <v/>
      </c>
      <c r="Q881" s="48" t="str">
        <f t="shared" si="231"/>
        <v/>
      </c>
    </row>
    <row r="882" spans="2:17" hidden="1" outlineLevel="1">
      <c r="C882" s="9"/>
      <c r="D882" s="7">
        <v>12</v>
      </c>
      <c r="E882" s="310" t="s">
        <v>216</v>
      </c>
      <c r="F882" s="21"/>
      <c r="G882" s="70" t="str">
        <f t="shared" ref="G882:Q882" si="232">IFERROR(+G877/G879,"")</f>
        <v/>
      </c>
      <c r="H882" s="71" t="str">
        <f t="shared" si="232"/>
        <v/>
      </c>
      <c r="I882" s="71" t="str">
        <f t="shared" si="232"/>
        <v/>
      </c>
      <c r="J882" s="71" t="str">
        <f t="shared" si="232"/>
        <v/>
      </c>
      <c r="K882" s="71" t="str">
        <f t="shared" si="232"/>
        <v/>
      </c>
      <c r="L882" s="71" t="str">
        <f t="shared" si="232"/>
        <v/>
      </c>
      <c r="M882" s="71" t="str">
        <f t="shared" si="232"/>
        <v/>
      </c>
      <c r="N882" s="71" t="str">
        <f t="shared" si="232"/>
        <v/>
      </c>
      <c r="O882" s="71" t="str">
        <f t="shared" si="232"/>
        <v/>
      </c>
      <c r="P882" s="71" t="str">
        <f t="shared" si="232"/>
        <v/>
      </c>
      <c r="Q882" s="71" t="str">
        <f t="shared" si="232"/>
        <v/>
      </c>
    </row>
    <row r="883" spans="2:17" hidden="1" outlineLevel="1">
      <c r="D883" s="7">
        <v>13</v>
      </c>
      <c r="E883" s="310" t="s">
        <v>217</v>
      </c>
      <c r="F883" s="21" t="s">
        <v>218</v>
      </c>
      <c r="G883" s="14"/>
      <c r="H883" s="48" t="str">
        <f t="shared" ref="H883:Q883" si="233">IFERROR((H882-G882)/G882,"")</f>
        <v/>
      </c>
      <c r="I883" s="49" t="str">
        <f t="shared" si="233"/>
        <v/>
      </c>
      <c r="J883" s="48" t="str">
        <f t="shared" si="233"/>
        <v/>
      </c>
      <c r="K883" s="48" t="str">
        <f t="shared" si="233"/>
        <v/>
      </c>
      <c r="L883" s="48" t="str">
        <f t="shared" si="233"/>
        <v/>
      </c>
      <c r="M883" s="48" t="str">
        <f t="shared" si="233"/>
        <v/>
      </c>
      <c r="N883" s="48" t="str">
        <f t="shared" si="233"/>
        <v/>
      </c>
      <c r="O883" s="48" t="str">
        <f t="shared" si="233"/>
        <v/>
      </c>
      <c r="P883" s="48" t="str">
        <f t="shared" si="233"/>
        <v/>
      </c>
      <c r="Q883" s="48" t="str">
        <f t="shared" si="233"/>
        <v/>
      </c>
    </row>
    <row r="884" spans="2:17" collapsed="1">
      <c r="E884" s="314"/>
    </row>
    <row r="885" spans="2:17" ht="18.5" thickBot="1">
      <c r="B885" s="69"/>
      <c r="C885" s="46" t="s">
        <v>332</v>
      </c>
      <c r="D885" s="4"/>
      <c r="E885" s="308"/>
      <c r="F885" s="240" t="str">
        <f>IF(G886="","","折りたたまれたセルのグループ（非表示行）を展開して、入力項目を入力してください。")</f>
        <v/>
      </c>
      <c r="L885" s="51"/>
    </row>
    <row r="886" spans="2:17" ht="50.15" customHeight="1" thickBot="1">
      <c r="D886" s="128">
        <v>1</v>
      </c>
      <c r="E886" s="311" t="s">
        <v>275</v>
      </c>
      <c r="F886" s="129"/>
      <c r="G886" s="130" t="str">
        <f>IF($I$108="","",$I$108)</f>
        <v/>
      </c>
    </row>
    <row r="887" spans="2:17" hidden="1" outlineLevel="1">
      <c r="D887" s="52">
        <v>2</v>
      </c>
      <c r="E887" s="312" t="s">
        <v>292</v>
      </c>
      <c r="F887" s="57" t="s">
        <v>241</v>
      </c>
      <c r="G887" s="144"/>
    </row>
    <row r="888" spans="2:17" ht="33" hidden="1" outlineLevel="1">
      <c r="D888" s="52">
        <v>3</v>
      </c>
      <c r="E888" s="312" t="s">
        <v>277</v>
      </c>
      <c r="F888" s="30" t="s">
        <v>241</v>
      </c>
      <c r="G888" s="141"/>
      <c r="K888" s="375" t="s">
        <v>278</v>
      </c>
      <c r="L888" s="375"/>
      <c r="M888" s="375"/>
      <c r="N888" s="375"/>
      <c r="O888" s="196"/>
      <c r="P888" s="195" t="s">
        <v>279</v>
      </c>
      <c r="Q888" s="50" t="s">
        <v>280</v>
      </c>
    </row>
    <row r="889" spans="2:17" hidden="1" outlineLevel="1">
      <c r="D889" s="52">
        <v>4</v>
      </c>
      <c r="E889" s="293" t="s">
        <v>281</v>
      </c>
      <c r="F889" s="19" t="s">
        <v>241</v>
      </c>
      <c r="G889" s="141"/>
      <c r="H889" s="6"/>
      <c r="K889" s="375"/>
      <c r="L889" s="375"/>
      <c r="M889" s="375"/>
      <c r="N889" s="375"/>
      <c r="O889" s="125" t="s">
        <v>282</v>
      </c>
      <c r="P889" s="131" t="str">
        <f>IF(AND(COUNTA($G896:$Q896)&gt;0,SUMIF($G896:$Q896,"&lt;&gt;"&amp;"")=0),"－",IFERROR(((HLOOKUP(EDATE($F$13,36),$G893:$Q901,6,FALSE))/(HLOOKUP(EDATE($F$13,0),$G893:$Q901,6,FALSE)))^(1/3)-1,""))</f>
        <v/>
      </c>
      <c r="Q889" s="376">
        <v>4.4999999999999998E-2</v>
      </c>
    </row>
    <row r="890" spans="2:17" ht="36" hidden="1" outlineLevel="1">
      <c r="D890" s="52">
        <v>5</v>
      </c>
      <c r="E890" s="293" t="s">
        <v>283</v>
      </c>
      <c r="F890" s="19" t="s">
        <v>256</v>
      </c>
      <c r="G890" s="315"/>
      <c r="H890" s="6"/>
      <c r="K890" s="375"/>
      <c r="L890" s="375"/>
      <c r="M890" s="375"/>
      <c r="N890" s="375"/>
      <c r="O890" s="125" t="s">
        <v>284</v>
      </c>
      <c r="P890" s="125" t="str">
        <f>IF(AND(COUNTA($G897:$Q897)&gt;0,SUMIF($G897:$Q897,"&lt;&gt;"&amp;"")=0),"－",IFERROR(((HLOOKUP(EDATE($F$13,36),$G893:$Q901,8,FALSE))/(HLOOKUP(EDATE($F$13,0),$G893:$Q901,8,FALSE)))^(1/3)-1,""))</f>
        <v/>
      </c>
      <c r="Q890" s="377"/>
    </row>
    <row r="891" spans="2:17" hidden="1" outlineLevel="1">
      <c r="D891" s="35"/>
      <c r="E891" s="316" t="s">
        <v>257</v>
      </c>
      <c r="F891" s="34"/>
      <c r="G891" s="1" t="s">
        <v>179</v>
      </c>
    </row>
    <row r="892" spans="2:17" hidden="1" outlineLevel="1">
      <c r="E892" s="308"/>
      <c r="G892" s="64" t="s">
        <v>181</v>
      </c>
      <c r="H892" s="64" t="s">
        <v>182</v>
      </c>
      <c r="I892" s="64" t="s">
        <v>183</v>
      </c>
      <c r="J892" s="132" t="s">
        <v>184</v>
      </c>
      <c r="K892" s="132"/>
      <c r="L892" s="132"/>
      <c r="M892" s="132"/>
      <c r="N892" s="132"/>
      <c r="O892" s="132"/>
      <c r="P892" s="132"/>
      <c r="Q892" s="132"/>
    </row>
    <row r="893" spans="2:17" hidden="1" outlineLevel="1">
      <c r="D893" s="11"/>
      <c r="E893" s="206"/>
      <c r="F893" s="56"/>
      <c r="G893" s="63" t="str">
        <f>IF($I893="","",EDATE(H893,-12))</f>
        <v/>
      </c>
      <c r="H893" s="63" t="str">
        <f>IF($I893="","",EDATE(I893,-12))</f>
        <v/>
      </c>
      <c r="I893" s="63" t="str">
        <f>IF($I$12="","",$I$12)</f>
        <v/>
      </c>
      <c r="J893" s="63" t="str">
        <f t="shared" ref="J893:Q893" si="234">IF($I893="","",EDATE(I893,12))</f>
        <v/>
      </c>
      <c r="K893" s="63" t="str">
        <f t="shared" si="234"/>
        <v/>
      </c>
      <c r="L893" s="63" t="str">
        <f t="shared" si="234"/>
        <v/>
      </c>
      <c r="M893" s="63" t="str">
        <f t="shared" si="234"/>
        <v/>
      </c>
      <c r="N893" s="63" t="str">
        <f t="shared" si="234"/>
        <v/>
      </c>
      <c r="O893" s="63" t="str">
        <f t="shared" si="234"/>
        <v/>
      </c>
      <c r="P893" s="63" t="str">
        <f t="shared" si="234"/>
        <v/>
      </c>
      <c r="Q893" s="63" t="str">
        <f t="shared" si="234"/>
        <v/>
      </c>
    </row>
    <row r="894" spans="2:17" hidden="1" outlineLevel="1">
      <c r="D894" s="52">
        <v>6</v>
      </c>
      <c r="E894" s="293" t="s">
        <v>206</v>
      </c>
      <c r="F894" s="55"/>
      <c r="G894" s="138"/>
      <c r="H894" s="138"/>
      <c r="I894" s="138"/>
      <c r="J894" s="138"/>
      <c r="K894" s="138"/>
      <c r="L894" s="138"/>
      <c r="M894" s="138"/>
      <c r="N894" s="138"/>
      <c r="O894" s="138"/>
      <c r="P894" s="106"/>
      <c r="Q894" s="106"/>
    </row>
    <row r="895" spans="2:17" hidden="1" outlineLevel="1">
      <c r="C895" s="9"/>
      <c r="D895" s="52">
        <v>7</v>
      </c>
      <c r="E895" s="293" t="s">
        <v>207</v>
      </c>
      <c r="F895" s="55"/>
      <c r="G895" s="138"/>
      <c r="H895" s="106"/>
      <c r="I895" s="139"/>
      <c r="J895" s="106"/>
      <c r="K895" s="106"/>
      <c r="L895" s="154"/>
      <c r="M895" s="106"/>
      <c r="N895" s="106"/>
      <c r="O895" s="106"/>
      <c r="P895" s="106"/>
      <c r="Q895" s="106"/>
    </row>
    <row r="896" spans="2:17" hidden="1" outlineLevel="1">
      <c r="C896" s="9"/>
      <c r="D896" s="5">
        <v>8</v>
      </c>
      <c r="E896" s="303" t="s">
        <v>210</v>
      </c>
      <c r="F896" s="20" t="s">
        <v>211</v>
      </c>
      <c r="G896" s="306"/>
      <c r="H896" s="306"/>
      <c r="I896" s="306"/>
      <c r="J896" s="306"/>
      <c r="K896" s="306"/>
      <c r="L896" s="306"/>
      <c r="M896" s="306"/>
      <c r="N896" s="306"/>
      <c r="O896" s="306"/>
      <c r="P896" s="229"/>
      <c r="Q896" s="229"/>
    </row>
    <row r="897" spans="2:17" hidden="1" outlineLevel="1">
      <c r="C897" s="9"/>
      <c r="D897" s="52">
        <v>9</v>
      </c>
      <c r="E897" s="293" t="s">
        <v>212</v>
      </c>
      <c r="F897" s="55" t="s">
        <v>287</v>
      </c>
      <c r="G897" s="306"/>
      <c r="H897" s="229"/>
      <c r="I897" s="307"/>
      <c r="J897" s="229"/>
      <c r="K897" s="229"/>
      <c r="L897" s="229"/>
      <c r="M897" s="229"/>
      <c r="N897" s="229"/>
      <c r="O897" s="229"/>
      <c r="P897" s="229"/>
      <c r="Q897" s="229"/>
    </row>
    <row r="898" spans="2:17" hidden="1" outlineLevel="1">
      <c r="C898" s="9"/>
      <c r="D898" s="7">
        <v>10</v>
      </c>
      <c r="E898" s="310" t="s">
        <v>213</v>
      </c>
      <c r="F898" s="22"/>
      <c r="G898" s="12" t="str">
        <f>IFERROR(+G894/G896,"")</f>
        <v/>
      </c>
      <c r="H898" s="13" t="str">
        <f>IFERROR(+H894/H896,"")</f>
        <v/>
      </c>
      <c r="I898" s="16" t="str">
        <f t="shared" ref="I898:Q898" si="235">IFERROR(+I894/I896,"")</f>
        <v/>
      </c>
      <c r="J898" s="13" t="str">
        <f t="shared" si="235"/>
        <v/>
      </c>
      <c r="K898" s="13" t="str">
        <f t="shared" si="235"/>
        <v/>
      </c>
      <c r="L898" s="13" t="str">
        <f t="shared" si="235"/>
        <v/>
      </c>
      <c r="M898" s="13" t="str">
        <f t="shared" si="235"/>
        <v/>
      </c>
      <c r="N898" s="13" t="str">
        <f t="shared" si="235"/>
        <v/>
      </c>
      <c r="O898" s="13" t="str">
        <f t="shared" si="235"/>
        <v/>
      </c>
      <c r="P898" s="13" t="str">
        <f t="shared" si="235"/>
        <v/>
      </c>
      <c r="Q898" s="13" t="str">
        <f t="shared" si="235"/>
        <v/>
      </c>
    </row>
    <row r="899" spans="2:17" hidden="1" outlineLevel="1">
      <c r="C899" s="9"/>
      <c r="D899" s="7">
        <v>11</v>
      </c>
      <c r="E899" s="310" t="s">
        <v>214</v>
      </c>
      <c r="F899" s="22" t="s">
        <v>215</v>
      </c>
      <c r="G899" s="14"/>
      <c r="H899" s="48" t="str">
        <f t="shared" ref="H899:Q899" si="236">IFERROR((H898-G898)/G898,"")</f>
        <v/>
      </c>
      <c r="I899" s="49" t="str">
        <f t="shared" si="236"/>
        <v/>
      </c>
      <c r="J899" s="48" t="str">
        <f t="shared" si="236"/>
        <v/>
      </c>
      <c r="K899" s="48" t="str">
        <f>IFERROR((K898-J898)/J898,"")</f>
        <v/>
      </c>
      <c r="L899" s="48" t="str">
        <f t="shared" si="236"/>
        <v/>
      </c>
      <c r="M899" s="48" t="str">
        <f t="shared" si="236"/>
        <v/>
      </c>
      <c r="N899" s="48" t="str">
        <f t="shared" si="236"/>
        <v/>
      </c>
      <c r="O899" s="48" t="str">
        <f t="shared" si="236"/>
        <v/>
      </c>
      <c r="P899" s="48" t="str">
        <f t="shared" si="236"/>
        <v/>
      </c>
      <c r="Q899" s="48" t="str">
        <f t="shared" si="236"/>
        <v/>
      </c>
    </row>
    <row r="900" spans="2:17" hidden="1" outlineLevel="1">
      <c r="C900" s="9"/>
      <c r="D900" s="7">
        <v>12</v>
      </c>
      <c r="E900" s="310" t="s">
        <v>216</v>
      </c>
      <c r="F900" s="21"/>
      <c r="G900" s="70" t="str">
        <f t="shared" ref="G900:Q900" si="237">IFERROR(+G895/G897,"")</f>
        <v/>
      </c>
      <c r="H900" s="71" t="str">
        <f t="shared" si="237"/>
        <v/>
      </c>
      <c r="I900" s="71" t="str">
        <f t="shared" si="237"/>
        <v/>
      </c>
      <c r="J900" s="71" t="str">
        <f t="shared" si="237"/>
        <v/>
      </c>
      <c r="K900" s="71" t="str">
        <f t="shared" si="237"/>
        <v/>
      </c>
      <c r="L900" s="71" t="str">
        <f t="shared" si="237"/>
        <v/>
      </c>
      <c r="M900" s="71" t="str">
        <f t="shared" si="237"/>
        <v/>
      </c>
      <c r="N900" s="71" t="str">
        <f t="shared" si="237"/>
        <v/>
      </c>
      <c r="O900" s="71" t="str">
        <f t="shared" si="237"/>
        <v/>
      </c>
      <c r="P900" s="71" t="str">
        <f t="shared" si="237"/>
        <v/>
      </c>
      <c r="Q900" s="71" t="str">
        <f t="shared" si="237"/>
        <v/>
      </c>
    </row>
    <row r="901" spans="2:17" hidden="1" outlineLevel="1">
      <c r="D901" s="7">
        <v>13</v>
      </c>
      <c r="E901" s="310" t="s">
        <v>217</v>
      </c>
      <c r="F901" s="21" t="s">
        <v>218</v>
      </c>
      <c r="G901" s="14"/>
      <c r="H901" s="48" t="str">
        <f t="shared" ref="H901:Q901" si="238">IFERROR((H900-G900)/G900,"")</f>
        <v/>
      </c>
      <c r="I901" s="49" t="str">
        <f t="shared" si="238"/>
        <v/>
      </c>
      <c r="J901" s="48" t="str">
        <f t="shared" si="238"/>
        <v/>
      </c>
      <c r="K901" s="48" t="str">
        <f t="shared" si="238"/>
        <v/>
      </c>
      <c r="L901" s="48" t="str">
        <f t="shared" si="238"/>
        <v/>
      </c>
      <c r="M901" s="48" t="str">
        <f t="shared" si="238"/>
        <v/>
      </c>
      <c r="N901" s="48" t="str">
        <f t="shared" si="238"/>
        <v/>
      </c>
      <c r="O901" s="48" t="str">
        <f t="shared" si="238"/>
        <v/>
      </c>
      <c r="P901" s="48" t="str">
        <f t="shared" si="238"/>
        <v/>
      </c>
      <c r="Q901" s="48" t="str">
        <f t="shared" si="238"/>
        <v/>
      </c>
    </row>
    <row r="902" spans="2:17" collapsed="1">
      <c r="E902" s="314"/>
    </row>
    <row r="903" spans="2:17" ht="18.5" thickBot="1">
      <c r="B903" s="69"/>
      <c r="C903" s="46" t="s">
        <v>333</v>
      </c>
      <c r="D903" s="4"/>
      <c r="E903" s="308"/>
      <c r="F903" s="240" t="str">
        <f>IF(G904="","","折りたたまれたセルのグループ（非表示行）を展開して、入力項目を入力してください。")</f>
        <v/>
      </c>
      <c r="L903" s="51"/>
    </row>
    <row r="904" spans="2:17" ht="50.15" customHeight="1" thickBot="1">
      <c r="D904" s="128">
        <v>1</v>
      </c>
      <c r="E904" s="311" t="s">
        <v>275</v>
      </c>
      <c r="F904" s="129"/>
      <c r="G904" s="130" t="str">
        <f>IF($J$108="","",$J$108)</f>
        <v/>
      </c>
    </row>
    <row r="905" spans="2:17" hidden="1" outlineLevel="1">
      <c r="D905" s="52">
        <v>2</v>
      </c>
      <c r="E905" s="312" t="s">
        <v>292</v>
      </c>
      <c r="F905" s="57" t="s">
        <v>241</v>
      </c>
      <c r="G905" s="144"/>
    </row>
    <row r="906" spans="2:17" ht="33" hidden="1" outlineLevel="1">
      <c r="D906" s="52">
        <v>3</v>
      </c>
      <c r="E906" s="312" t="s">
        <v>277</v>
      </c>
      <c r="F906" s="30" t="s">
        <v>241</v>
      </c>
      <c r="G906" s="141"/>
      <c r="K906" s="375" t="s">
        <v>278</v>
      </c>
      <c r="L906" s="375"/>
      <c r="M906" s="375"/>
      <c r="N906" s="375"/>
      <c r="O906" s="196"/>
      <c r="P906" s="195" t="s">
        <v>279</v>
      </c>
      <c r="Q906" s="50" t="s">
        <v>280</v>
      </c>
    </row>
    <row r="907" spans="2:17" hidden="1" outlineLevel="1">
      <c r="D907" s="52">
        <v>4</v>
      </c>
      <c r="E907" s="293" t="s">
        <v>281</v>
      </c>
      <c r="F907" s="19" t="s">
        <v>241</v>
      </c>
      <c r="G907" s="141"/>
      <c r="H907" s="6"/>
      <c r="K907" s="375"/>
      <c r="L907" s="375"/>
      <c r="M907" s="375"/>
      <c r="N907" s="375"/>
      <c r="O907" s="125" t="s">
        <v>282</v>
      </c>
      <c r="P907" s="131" t="str">
        <f>IF(AND(COUNTA($G914:$Q914)&gt;0,SUMIF($G914:$Q914,"&lt;&gt;"&amp;"")=0),"－",IFERROR(((HLOOKUP(EDATE($F$13,36),$G911:$Q919,6,FALSE))/(HLOOKUP(EDATE($F$13,0),$G911:$Q919,6,FALSE)))^(1/3)-1,""))</f>
        <v/>
      </c>
      <c r="Q907" s="376">
        <v>4.4999999999999998E-2</v>
      </c>
    </row>
    <row r="908" spans="2:17" ht="36" hidden="1" outlineLevel="1">
      <c r="D908" s="52">
        <v>5</v>
      </c>
      <c r="E908" s="293" t="s">
        <v>283</v>
      </c>
      <c r="F908" s="19" t="s">
        <v>256</v>
      </c>
      <c r="G908" s="315"/>
      <c r="H908" s="6"/>
      <c r="K908" s="375"/>
      <c r="L908" s="375"/>
      <c r="M908" s="375"/>
      <c r="N908" s="375"/>
      <c r="O908" s="125" t="s">
        <v>284</v>
      </c>
      <c r="P908" s="125" t="str">
        <f>IF(AND(COUNTA($G915:$Q915)&gt;0,SUMIF($G915:$Q915,"&lt;&gt;"&amp;"")=0),"－",IFERROR(((HLOOKUP(EDATE($F$13,36),$G911:$Q919,8,FALSE))/(HLOOKUP(EDATE($F$13,0),$G911:$Q919,8,FALSE)))^(1/3)-1,""))</f>
        <v/>
      </c>
      <c r="Q908" s="377"/>
    </row>
    <row r="909" spans="2:17" hidden="1" outlineLevel="1">
      <c r="D909" s="35"/>
      <c r="E909" s="316" t="s">
        <v>257</v>
      </c>
      <c r="F909" s="34"/>
      <c r="G909" s="1" t="s">
        <v>179</v>
      </c>
    </row>
    <row r="910" spans="2:17" hidden="1" outlineLevel="1">
      <c r="E910" s="308"/>
      <c r="G910" s="64" t="s">
        <v>181</v>
      </c>
      <c r="H910" s="64" t="s">
        <v>182</v>
      </c>
      <c r="I910" s="64" t="s">
        <v>183</v>
      </c>
      <c r="J910" s="132" t="s">
        <v>184</v>
      </c>
      <c r="K910" s="132"/>
      <c r="L910" s="132"/>
      <c r="M910" s="132"/>
      <c r="N910" s="132"/>
      <c r="O910" s="132"/>
      <c r="P910" s="132"/>
      <c r="Q910" s="132"/>
    </row>
    <row r="911" spans="2:17" hidden="1" outlineLevel="1">
      <c r="D911" s="11"/>
      <c r="E911" s="206"/>
      <c r="F911" s="56"/>
      <c r="G911" s="63" t="str">
        <f>IF($I911="","",EDATE(H911,-12))</f>
        <v/>
      </c>
      <c r="H911" s="63" t="str">
        <f>IF($I911="","",EDATE(I911,-12))</f>
        <v/>
      </c>
      <c r="I911" s="63" t="str">
        <f>IF($I$12="","",$I$12)</f>
        <v/>
      </c>
      <c r="J911" s="63" t="str">
        <f t="shared" ref="J911:Q911" si="239">IF($I911="","",EDATE(I911,12))</f>
        <v/>
      </c>
      <c r="K911" s="63" t="str">
        <f t="shared" si="239"/>
        <v/>
      </c>
      <c r="L911" s="63" t="str">
        <f t="shared" si="239"/>
        <v/>
      </c>
      <c r="M911" s="63" t="str">
        <f t="shared" si="239"/>
        <v/>
      </c>
      <c r="N911" s="63" t="str">
        <f t="shared" si="239"/>
        <v/>
      </c>
      <c r="O911" s="63" t="str">
        <f t="shared" si="239"/>
        <v/>
      </c>
      <c r="P911" s="63" t="str">
        <f t="shared" si="239"/>
        <v/>
      </c>
      <c r="Q911" s="63" t="str">
        <f t="shared" si="239"/>
        <v/>
      </c>
    </row>
    <row r="912" spans="2:17" hidden="1" outlineLevel="1">
      <c r="D912" s="52">
        <v>6</v>
      </c>
      <c r="E912" s="293" t="s">
        <v>206</v>
      </c>
      <c r="F912" s="55"/>
      <c r="G912" s="138"/>
      <c r="H912" s="138"/>
      <c r="I912" s="138"/>
      <c r="J912" s="138"/>
      <c r="K912" s="138"/>
      <c r="L912" s="138"/>
      <c r="M912" s="138"/>
      <c r="N912" s="138"/>
      <c r="O912" s="138"/>
      <c r="P912" s="106"/>
      <c r="Q912" s="106"/>
    </row>
    <row r="913" spans="2:17" hidden="1" outlineLevel="1">
      <c r="C913" s="9"/>
      <c r="D913" s="52">
        <v>7</v>
      </c>
      <c r="E913" s="293" t="s">
        <v>207</v>
      </c>
      <c r="F913" s="55"/>
      <c r="G913" s="138"/>
      <c r="H913" s="106"/>
      <c r="I913" s="139"/>
      <c r="J913" s="106"/>
      <c r="K913" s="106"/>
      <c r="L913" s="154"/>
      <c r="M913" s="106"/>
      <c r="N913" s="106"/>
      <c r="O913" s="106"/>
      <c r="P913" s="106"/>
      <c r="Q913" s="106"/>
    </row>
    <row r="914" spans="2:17" hidden="1" outlineLevel="1">
      <c r="C914" s="9"/>
      <c r="D914" s="5">
        <v>8</v>
      </c>
      <c r="E914" s="303" t="s">
        <v>210</v>
      </c>
      <c r="F914" s="20" t="s">
        <v>211</v>
      </c>
      <c r="G914" s="306"/>
      <c r="H914" s="306"/>
      <c r="I914" s="306"/>
      <c r="J914" s="306"/>
      <c r="K914" s="306"/>
      <c r="L914" s="306"/>
      <c r="M914" s="306"/>
      <c r="N914" s="306"/>
      <c r="O914" s="306"/>
      <c r="P914" s="229"/>
      <c r="Q914" s="229"/>
    </row>
    <row r="915" spans="2:17" hidden="1" outlineLevel="1">
      <c r="C915" s="9"/>
      <c r="D915" s="52">
        <v>9</v>
      </c>
      <c r="E915" s="293" t="s">
        <v>212</v>
      </c>
      <c r="F915" s="55" t="s">
        <v>287</v>
      </c>
      <c r="G915" s="306"/>
      <c r="H915" s="229"/>
      <c r="I915" s="307"/>
      <c r="J915" s="229"/>
      <c r="K915" s="229"/>
      <c r="L915" s="229"/>
      <c r="M915" s="229"/>
      <c r="N915" s="229"/>
      <c r="O915" s="229"/>
      <c r="P915" s="229"/>
      <c r="Q915" s="229"/>
    </row>
    <row r="916" spans="2:17" hidden="1" outlineLevel="1">
      <c r="C916" s="9"/>
      <c r="D916" s="7">
        <v>10</v>
      </c>
      <c r="E916" s="310" t="s">
        <v>213</v>
      </c>
      <c r="F916" s="22"/>
      <c r="G916" s="12" t="str">
        <f>IFERROR(+G912/G914,"")</f>
        <v/>
      </c>
      <c r="H916" s="13" t="str">
        <f>IFERROR(+H912/H914,"")</f>
        <v/>
      </c>
      <c r="I916" s="16" t="str">
        <f t="shared" ref="I916:Q916" si="240">IFERROR(+I912/I914,"")</f>
        <v/>
      </c>
      <c r="J916" s="13" t="str">
        <f t="shared" si="240"/>
        <v/>
      </c>
      <c r="K916" s="13" t="str">
        <f t="shared" si="240"/>
        <v/>
      </c>
      <c r="L916" s="13" t="str">
        <f t="shared" si="240"/>
        <v/>
      </c>
      <c r="M916" s="13" t="str">
        <f t="shared" si="240"/>
        <v/>
      </c>
      <c r="N916" s="13" t="str">
        <f t="shared" si="240"/>
        <v/>
      </c>
      <c r="O916" s="13" t="str">
        <f t="shared" si="240"/>
        <v/>
      </c>
      <c r="P916" s="13" t="str">
        <f t="shared" si="240"/>
        <v/>
      </c>
      <c r="Q916" s="13" t="str">
        <f t="shared" si="240"/>
        <v/>
      </c>
    </row>
    <row r="917" spans="2:17" hidden="1" outlineLevel="1">
      <c r="C917" s="9"/>
      <c r="D917" s="7">
        <v>11</v>
      </c>
      <c r="E917" s="310" t="s">
        <v>214</v>
      </c>
      <c r="F917" s="22" t="s">
        <v>215</v>
      </c>
      <c r="G917" s="14"/>
      <c r="H917" s="48" t="str">
        <f t="shared" ref="H917:Q917" si="241">IFERROR((H916-G916)/G916,"")</f>
        <v/>
      </c>
      <c r="I917" s="49" t="str">
        <f t="shared" si="241"/>
        <v/>
      </c>
      <c r="J917" s="48" t="str">
        <f t="shared" si="241"/>
        <v/>
      </c>
      <c r="K917" s="48" t="str">
        <f>IFERROR((K916-J916)/J916,"")</f>
        <v/>
      </c>
      <c r="L917" s="48" t="str">
        <f t="shared" si="241"/>
        <v/>
      </c>
      <c r="M917" s="48" t="str">
        <f t="shared" si="241"/>
        <v/>
      </c>
      <c r="N917" s="48" t="str">
        <f t="shared" si="241"/>
        <v/>
      </c>
      <c r="O917" s="48" t="str">
        <f t="shared" si="241"/>
        <v/>
      </c>
      <c r="P917" s="48" t="str">
        <f t="shared" si="241"/>
        <v/>
      </c>
      <c r="Q917" s="48" t="str">
        <f t="shared" si="241"/>
        <v/>
      </c>
    </row>
    <row r="918" spans="2:17" hidden="1" outlineLevel="1">
      <c r="C918" s="9"/>
      <c r="D918" s="7">
        <v>12</v>
      </c>
      <c r="E918" s="310" t="s">
        <v>216</v>
      </c>
      <c r="F918" s="21"/>
      <c r="G918" s="70" t="str">
        <f t="shared" ref="G918:Q918" si="242">IFERROR(+G913/G915,"")</f>
        <v/>
      </c>
      <c r="H918" s="71" t="str">
        <f t="shared" si="242"/>
        <v/>
      </c>
      <c r="I918" s="71" t="str">
        <f t="shared" si="242"/>
        <v/>
      </c>
      <c r="J918" s="71" t="str">
        <f t="shared" si="242"/>
        <v/>
      </c>
      <c r="K918" s="71" t="str">
        <f t="shared" si="242"/>
        <v/>
      </c>
      <c r="L918" s="71" t="str">
        <f t="shared" si="242"/>
        <v/>
      </c>
      <c r="M918" s="71" t="str">
        <f t="shared" si="242"/>
        <v/>
      </c>
      <c r="N918" s="71" t="str">
        <f t="shared" si="242"/>
        <v/>
      </c>
      <c r="O918" s="71" t="str">
        <f t="shared" si="242"/>
        <v/>
      </c>
      <c r="P918" s="71" t="str">
        <f t="shared" si="242"/>
        <v/>
      </c>
      <c r="Q918" s="71" t="str">
        <f t="shared" si="242"/>
        <v/>
      </c>
    </row>
    <row r="919" spans="2:17" hidden="1" outlineLevel="1">
      <c r="D919" s="7">
        <v>13</v>
      </c>
      <c r="E919" s="310" t="s">
        <v>217</v>
      </c>
      <c r="F919" s="21" t="s">
        <v>218</v>
      </c>
      <c r="G919" s="14"/>
      <c r="H919" s="48" t="str">
        <f t="shared" ref="H919:Q919" si="243">IFERROR((H918-G918)/G918,"")</f>
        <v/>
      </c>
      <c r="I919" s="49" t="str">
        <f t="shared" si="243"/>
        <v/>
      </c>
      <c r="J919" s="48" t="str">
        <f t="shared" si="243"/>
        <v/>
      </c>
      <c r="K919" s="48" t="str">
        <f t="shared" si="243"/>
        <v/>
      </c>
      <c r="L919" s="48" t="str">
        <f t="shared" si="243"/>
        <v/>
      </c>
      <c r="M919" s="48" t="str">
        <f t="shared" si="243"/>
        <v/>
      </c>
      <c r="N919" s="48" t="str">
        <f t="shared" si="243"/>
        <v/>
      </c>
      <c r="O919" s="48" t="str">
        <f t="shared" si="243"/>
        <v/>
      </c>
      <c r="P919" s="48" t="str">
        <f t="shared" si="243"/>
        <v/>
      </c>
      <c r="Q919" s="48" t="str">
        <f t="shared" si="243"/>
        <v/>
      </c>
    </row>
    <row r="920" spans="2:17" collapsed="1">
      <c r="E920" s="314"/>
    </row>
    <row r="921" spans="2:17" ht="18.5" thickBot="1">
      <c r="B921" s="69"/>
      <c r="C921" s="46" t="s">
        <v>334</v>
      </c>
      <c r="D921" s="4"/>
      <c r="E921" s="308"/>
      <c r="F921" s="240" t="str">
        <f>IF(G922="","","折りたたまれたセルのグループ（非表示行）を展開して、入力項目を入力してください。")</f>
        <v/>
      </c>
      <c r="L921" s="51"/>
    </row>
    <row r="922" spans="2:17" ht="50.15" customHeight="1" thickBot="1">
      <c r="D922" s="128">
        <v>1</v>
      </c>
      <c r="E922" s="311" t="s">
        <v>275</v>
      </c>
      <c r="F922" s="129"/>
      <c r="G922" s="130" t="str">
        <f>IF($K$108="","",$K$108)</f>
        <v/>
      </c>
    </row>
    <row r="923" spans="2:17" hidden="1" outlineLevel="1">
      <c r="D923" s="52">
        <v>2</v>
      </c>
      <c r="E923" s="312" t="s">
        <v>292</v>
      </c>
      <c r="F923" s="57" t="s">
        <v>241</v>
      </c>
      <c r="G923" s="144"/>
    </row>
    <row r="924" spans="2:17" ht="33" hidden="1" outlineLevel="1">
      <c r="D924" s="52">
        <v>3</v>
      </c>
      <c r="E924" s="312" t="s">
        <v>277</v>
      </c>
      <c r="F924" s="30" t="s">
        <v>241</v>
      </c>
      <c r="G924" s="141"/>
      <c r="K924" s="375" t="s">
        <v>278</v>
      </c>
      <c r="L924" s="375"/>
      <c r="M924" s="375"/>
      <c r="N924" s="375"/>
      <c r="O924" s="196"/>
      <c r="P924" s="195" t="s">
        <v>279</v>
      </c>
      <c r="Q924" s="50" t="s">
        <v>280</v>
      </c>
    </row>
    <row r="925" spans="2:17" hidden="1" outlineLevel="1">
      <c r="D925" s="52">
        <v>4</v>
      </c>
      <c r="E925" s="293" t="s">
        <v>281</v>
      </c>
      <c r="F925" s="19" t="s">
        <v>241</v>
      </c>
      <c r="G925" s="141"/>
      <c r="H925" s="6"/>
      <c r="K925" s="375"/>
      <c r="L925" s="375"/>
      <c r="M925" s="375"/>
      <c r="N925" s="375"/>
      <c r="O925" s="125" t="s">
        <v>282</v>
      </c>
      <c r="P925" s="131" t="str">
        <f>IF(AND(COUNTA($G932:$Q932)&gt;0,SUMIF($G932:$Q932,"&lt;&gt;"&amp;"")=0),"－",IFERROR(((HLOOKUP(EDATE($F$13,36),$G929:$Q937,6,FALSE))/(HLOOKUP(EDATE($F$13,0),$G929:$Q937,6,FALSE)))^(1/3)-1,""))</f>
        <v/>
      </c>
      <c r="Q925" s="376">
        <v>4.4999999999999998E-2</v>
      </c>
    </row>
    <row r="926" spans="2:17" ht="36" hidden="1" outlineLevel="1">
      <c r="D926" s="52">
        <v>5</v>
      </c>
      <c r="E926" s="293" t="s">
        <v>283</v>
      </c>
      <c r="F926" s="19" t="s">
        <v>256</v>
      </c>
      <c r="G926" s="315"/>
      <c r="H926" s="6"/>
      <c r="K926" s="375"/>
      <c r="L926" s="375"/>
      <c r="M926" s="375"/>
      <c r="N926" s="375"/>
      <c r="O926" s="125" t="s">
        <v>284</v>
      </c>
      <c r="P926" s="125" t="str">
        <f>IF(AND(COUNTA($G933:$Q933)&gt;0,SUMIF($G933:$Q933,"&lt;&gt;"&amp;"")=0),"－",IFERROR(((HLOOKUP(EDATE($F$13,36),$G929:$Q937,8,FALSE))/(HLOOKUP(EDATE($F$13,0),$G929:$Q937,8,FALSE)))^(1/3)-1,""))</f>
        <v/>
      </c>
      <c r="Q926" s="377"/>
    </row>
    <row r="927" spans="2:17" hidden="1" outlineLevel="1">
      <c r="D927" s="35"/>
      <c r="E927" s="316" t="s">
        <v>257</v>
      </c>
      <c r="F927" s="34"/>
      <c r="G927" s="1" t="s">
        <v>179</v>
      </c>
    </row>
    <row r="928" spans="2:17" hidden="1" outlineLevel="1">
      <c r="E928" s="308"/>
      <c r="G928" s="64" t="s">
        <v>181</v>
      </c>
      <c r="H928" s="64" t="s">
        <v>182</v>
      </c>
      <c r="I928" s="64" t="s">
        <v>183</v>
      </c>
      <c r="J928" s="132" t="s">
        <v>184</v>
      </c>
      <c r="K928" s="132"/>
      <c r="L928" s="132"/>
      <c r="M928" s="132"/>
      <c r="N928" s="132"/>
      <c r="O928" s="132"/>
      <c r="P928" s="132"/>
      <c r="Q928" s="132"/>
    </row>
    <row r="929" spans="2:17" hidden="1" outlineLevel="1">
      <c r="D929" s="11"/>
      <c r="E929" s="206"/>
      <c r="F929" s="56"/>
      <c r="G929" s="63" t="str">
        <f>IF($I929="","",EDATE(H929,-12))</f>
        <v/>
      </c>
      <c r="H929" s="63" t="str">
        <f>IF($I929="","",EDATE(I929,-12))</f>
        <v/>
      </c>
      <c r="I929" s="63" t="str">
        <f>IF($I$12="","",$I$12)</f>
        <v/>
      </c>
      <c r="J929" s="63" t="str">
        <f t="shared" ref="J929:Q929" si="244">IF($I929="","",EDATE(I929,12))</f>
        <v/>
      </c>
      <c r="K929" s="63" t="str">
        <f t="shared" si="244"/>
        <v/>
      </c>
      <c r="L929" s="63" t="str">
        <f t="shared" si="244"/>
        <v/>
      </c>
      <c r="M929" s="63" t="str">
        <f t="shared" si="244"/>
        <v/>
      </c>
      <c r="N929" s="63" t="str">
        <f t="shared" si="244"/>
        <v/>
      </c>
      <c r="O929" s="63" t="str">
        <f t="shared" si="244"/>
        <v/>
      </c>
      <c r="P929" s="63" t="str">
        <f t="shared" si="244"/>
        <v/>
      </c>
      <c r="Q929" s="63" t="str">
        <f t="shared" si="244"/>
        <v/>
      </c>
    </row>
    <row r="930" spans="2:17" hidden="1" outlineLevel="1">
      <c r="D930" s="52">
        <v>6</v>
      </c>
      <c r="E930" s="293" t="s">
        <v>206</v>
      </c>
      <c r="F930" s="55"/>
      <c r="G930" s="138"/>
      <c r="H930" s="138"/>
      <c r="I930" s="138"/>
      <c r="J930" s="138"/>
      <c r="K930" s="138"/>
      <c r="L930" s="138"/>
      <c r="M930" s="138"/>
      <c r="N930" s="138"/>
      <c r="O930" s="138"/>
      <c r="P930" s="106"/>
      <c r="Q930" s="106"/>
    </row>
    <row r="931" spans="2:17" hidden="1" outlineLevel="1">
      <c r="C931" s="9"/>
      <c r="D931" s="52">
        <v>7</v>
      </c>
      <c r="E931" s="293" t="s">
        <v>207</v>
      </c>
      <c r="F931" s="55"/>
      <c r="G931" s="138"/>
      <c r="H931" s="106"/>
      <c r="I931" s="139"/>
      <c r="J931" s="106"/>
      <c r="K931" s="106"/>
      <c r="L931" s="154"/>
      <c r="M931" s="106"/>
      <c r="N931" s="106"/>
      <c r="O931" s="106"/>
      <c r="P931" s="106"/>
      <c r="Q931" s="106"/>
    </row>
    <row r="932" spans="2:17" hidden="1" outlineLevel="1">
      <c r="C932" s="9"/>
      <c r="D932" s="5">
        <v>8</v>
      </c>
      <c r="E932" s="303" t="s">
        <v>210</v>
      </c>
      <c r="F932" s="20" t="s">
        <v>211</v>
      </c>
      <c r="G932" s="306"/>
      <c r="H932" s="306"/>
      <c r="I932" s="306"/>
      <c r="J932" s="306"/>
      <c r="K932" s="306"/>
      <c r="L932" s="306"/>
      <c r="M932" s="306"/>
      <c r="N932" s="306"/>
      <c r="O932" s="306"/>
      <c r="P932" s="229"/>
      <c r="Q932" s="229"/>
    </row>
    <row r="933" spans="2:17" hidden="1" outlineLevel="1">
      <c r="C933" s="9"/>
      <c r="D933" s="52">
        <v>9</v>
      </c>
      <c r="E933" s="293" t="s">
        <v>212</v>
      </c>
      <c r="F933" s="55" t="s">
        <v>287</v>
      </c>
      <c r="G933" s="306"/>
      <c r="H933" s="229"/>
      <c r="I933" s="307"/>
      <c r="J933" s="229"/>
      <c r="K933" s="229"/>
      <c r="L933" s="229"/>
      <c r="M933" s="229"/>
      <c r="N933" s="229"/>
      <c r="O933" s="229"/>
      <c r="P933" s="229"/>
      <c r="Q933" s="229"/>
    </row>
    <row r="934" spans="2:17" hidden="1" outlineLevel="1">
      <c r="C934" s="9"/>
      <c r="D934" s="7">
        <v>10</v>
      </c>
      <c r="E934" s="310" t="s">
        <v>213</v>
      </c>
      <c r="F934" s="22"/>
      <c r="G934" s="12" t="str">
        <f>IFERROR(+G930/G932,"")</f>
        <v/>
      </c>
      <c r="H934" s="13" t="str">
        <f>IFERROR(+H930/H932,"")</f>
        <v/>
      </c>
      <c r="I934" s="16" t="str">
        <f t="shared" ref="I934:Q934" si="245">IFERROR(+I930/I932,"")</f>
        <v/>
      </c>
      <c r="J934" s="13" t="str">
        <f t="shared" si="245"/>
        <v/>
      </c>
      <c r="K934" s="13" t="str">
        <f t="shared" si="245"/>
        <v/>
      </c>
      <c r="L934" s="13" t="str">
        <f t="shared" si="245"/>
        <v/>
      </c>
      <c r="M934" s="13" t="str">
        <f t="shared" si="245"/>
        <v/>
      </c>
      <c r="N934" s="13" t="str">
        <f t="shared" si="245"/>
        <v/>
      </c>
      <c r="O934" s="13" t="str">
        <f t="shared" si="245"/>
        <v/>
      </c>
      <c r="P934" s="13" t="str">
        <f t="shared" si="245"/>
        <v/>
      </c>
      <c r="Q934" s="13" t="str">
        <f t="shared" si="245"/>
        <v/>
      </c>
    </row>
    <row r="935" spans="2:17" hidden="1" outlineLevel="1">
      <c r="C935" s="9"/>
      <c r="D935" s="7">
        <v>11</v>
      </c>
      <c r="E935" s="310" t="s">
        <v>214</v>
      </c>
      <c r="F935" s="22" t="s">
        <v>215</v>
      </c>
      <c r="G935" s="14"/>
      <c r="H935" s="48" t="str">
        <f t="shared" ref="H935:Q935" si="246">IFERROR((H934-G934)/G934,"")</f>
        <v/>
      </c>
      <c r="I935" s="49" t="str">
        <f t="shared" si="246"/>
        <v/>
      </c>
      <c r="J935" s="48" t="str">
        <f t="shared" si="246"/>
        <v/>
      </c>
      <c r="K935" s="48" t="str">
        <f>IFERROR((K934-J934)/J934,"")</f>
        <v/>
      </c>
      <c r="L935" s="48" t="str">
        <f t="shared" si="246"/>
        <v/>
      </c>
      <c r="M935" s="48" t="str">
        <f t="shared" si="246"/>
        <v/>
      </c>
      <c r="N935" s="48" t="str">
        <f t="shared" si="246"/>
        <v/>
      </c>
      <c r="O935" s="48" t="str">
        <f t="shared" si="246"/>
        <v/>
      </c>
      <c r="P935" s="48" t="str">
        <f t="shared" si="246"/>
        <v/>
      </c>
      <c r="Q935" s="48" t="str">
        <f t="shared" si="246"/>
        <v/>
      </c>
    </row>
    <row r="936" spans="2:17" hidden="1" outlineLevel="1">
      <c r="C936" s="9"/>
      <c r="D936" s="7">
        <v>12</v>
      </c>
      <c r="E936" s="310" t="s">
        <v>216</v>
      </c>
      <c r="F936" s="21"/>
      <c r="G936" s="70" t="str">
        <f t="shared" ref="G936:Q936" si="247">IFERROR(+G931/G933,"")</f>
        <v/>
      </c>
      <c r="H936" s="71" t="str">
        <f t="shared" si="247"/>
        <v/>
      </c>
      <c r="I936" s="71" t="str">
        <f t="shared" si="247"/>
        <v/>
      </c>
      <c r="J936" s="71" t="str">
        <f t="shared" si="247"/>
        <v/>
      </c>
      <c r="K936" s="71" t="str">
        <f t="shared" si="247"/>
        <v/>
      </c>
      <c r="L936" s="71" t="str">
        <f t="shared" si="247"/>
        <v/>
      </c>
      <c r="M936" s="71" t="str">
        <f t="shared" si="247"/>
        <v/>
      </c>
      <c r="N936" s="71" t="str">
        <f t="shared" si="247"/>
        <v/>
      </c>
      <c r="O936" s="71" t="str">
        <f t="shared" si="247"/>
        <v/>
      </c>
      <c r="P936" s="71" t="str">
        <f t="shared" si="247"/>
        <v/>
      </c>
      <c r="Q936" s="71" t="str">
        <f t="shared" si="247"/>
        <v/>
      </c>
    </row>
    <row r="937" spans="2:17" hidden="1" outlineLevel="1">
      <c r="D937" s="7">
        <v>13</v>
      </c>
      <c r="E937" s="310" t="s">
        <v>217</v>
      </c>
      <c r="F937" s="21" t="s">
        <v>218</v>
      </c>
      <c r="G937" s="14"/>
      <c r="H937" s="48" t="str">
        <f t="shared" ref="H937:Q937" si="248">IFERROR((H936-G936)/G936,"")</f>
        <v/>
      </c>
      <c r="I937" s="49" t="str">
        <f t="shared" si="248"/>
        <v/>
      </c>
      <c r="J937" s="48" t="str">
        <f t="shared" si="248"/>
        <v/>
      </c>
      <c r="K937" s="48" t="str">
        <f t="shared" si="248"/>
        <v/>
      </c>
      <c r="L937" s="48" t="str">
        <f t="shared" si="248"/>
        <v/>
      </c>
      <c r="M937" s="48" t="str">
        <f t="shared" si="248"/>
        <v/>
      </c>
      <c r="N937" s="48" t="str">
        <f t="shared" si="248"/>
        <v/>
      </c>
      <c r="O937" s="48" t="str">
        <f t="shared" si="248"/>
        <v/>
      </c>
      <c r="P937" s="48" t="str">
        <f t="shared" si="248"/>
        <v/>
      </c>
      <c r="Q937" s="48" t="str">
        <f t="shared" si="248"/>
        <v/>
      </c>
    </row>
    <row r="938" spans="2:17" collapsed="1">
      <c r="E938" s="314"/>
    </row>
    <row r="939" spans="2:17" ht="18.5" thickBot="1">
      <c r="B939" s="69"/>
      <c r="C939" s="46" t="s">
        <v>335</v>
      </c>
      <c r="D939" s="4"/>
      <c r="E939" s="308"/>
      <c r="F939" s="240" t="str">
        <f>IF(G940="","","折りたたまれたセルのグループ（非表示行）を展開して、入力項目を入力してください。")</f>
        <v/>
      </c>
      <c r="L939" s="51"/>
    </row>
    <row r="940" spans="2:17" ht="50.15" customHeight="1" thickBot="1">
      <c r="D940" s="128">
        <v>1</v>
      </c>
      <c r="E940" s="311" t="s">
        <v>275</v>
      </c>
      <c r="F940" s="129"/>
      <c r="G940" s="130" t="str">
        <f>IF($L$108="","",$L$108)</f>
        <v/>
      </c>
    </row>
    <row r="941" spans="2:17" hidden="1" outlineLevel="1">
      <c r="D941" s="52">
        <v>2</v>
      </c>
      <c r="E941" s="312" t="s">
        <v>292</v>
      </c>
      <c r="F941" s="57" t="s">
        <v>241</v>
      </c>
      <c r="G941" s="144"/>
    </row>
    <row r="942" spans="2:17" ht="33" hidden="1" outlineLevel="1">
      <c r="D942" s="52">
        <v>3</v>
      </c>
      <c r="E942" s="312" t="s">
        <v>277</v>
      </c>
      <c r="F942" s="30" t="s">
        <v>241</v>
      </c>
      <c r="G942" s="145"/>
      <c r="K942" s="375" t="s">
        <v>278</v>
      </c>
      <c r="L942" s="375"/>
      <c r="M942" s="375"/>
      <c r="N942" s="375"/>
      <c r="O942" s="196"/>
      <c r="P942" s="195" t="s">
        <v>279</v>
      </c>
      <c r="Q942" s="50" t="s">
        <v>280</v>
      </c>
    </row>
    <row r="943" spans="2:17" hidden="1" outlineLevel="1">
      <c r="D943" s="52">
        <v>4</v>
      </c>
      <c r="E943" s="293" t="s">
        <v>336</v>
      </c>
      <c r="F943" s="19" t="s">
        <v>241</v>
      </c>
      <c r="G943" s="141"/>
      <c r="H943" s="6"/>
      <c r="K943" s="375"/>
      <c r="L943" s="375"/>
      <c r="M943" s="375"/>
      <c r="N943" s="375"/>
      <c r="O943" s="125" t="s">
        <v>282</v>
      </c>
      <c r="P943" s="131" t="str">
        <f>IF(AND(COUNTA($G950:$Q950)&gt;0,SUMIF($G950:$Q950,"&lt;&gt;"&amp;"")=0),"－",IFERROR(((HLOOKUP(EDATE($F$13,36),$G947:$Q955,6,FALSE))/(HLOOKUP(EDATE($F$13,0),$G947:$Q955,6,FALSE)))^(1/3)-1,""))</f>
        <v/>
      </c>
      <c r="Q943" s="376">
        <v>4.4999999999999998E-2</v>
      </c>
    </row>
    <row r="944" spans="2:17" ht="36" hidden="1" outlineLevel="1">
      <c r="D944" s="52">
        <v>5</v>
      </c>
      <c r="E944" s="293" t="s">
        <v>337</v>
      </c>
      <c r="F944" s="19" t="s">
        <v>256</v>
      </c>
      <c r="G944" s="315"/>
      <c r="H944" s="6"/>
      <c r="K944" s="375"/>
      <c r="L944" s="375"/>
      <c r="M944" s="375"/>
      <c r="N944" s="375"/>
      <c r="O944" s="125" t="s">
        <v>284</v>
      </c>
      <c r="P944" s="125" t="str">
        <f>IF(AND(COUNTA($G951:$Q951)&gt;0,SUMIF($G951:$Q951,"&lt;&gt;"&amp;"")=0),"－",IFERROR(((HLOOKUP(EDATE($F$13,36),$G947:$Q955,8,FALSE))/(HLOOKUP(EDATE($F$13,0),$G947:$Q955,8,FALSE)))^(1/3)-1,""))</f>
        <v/>
      </c>
      <c r="Q944" s="377"/>
    </row>
    <row r="945" spans="2:17" hidden="1" outlineLevel="1">
      <c r="D945" s="35"/>
      <c r="E945" s="316" t="s">
        <v>257</v>
      </c>
      <c r="F945" s="34"/>
      <c r="G945" s="1" t="s">
        <v>179</v>
      </c>
    </row>
    <row r="946" spans="2:17" hidden="1" outlineLevel="1">
      <c r="E946" s="308"/>
      <c r="G946" s="64" t="s">
        <v>181</v>
      </c>
      <c r="H946" s="64" t="s">
        <v>182</v>
      </c>
      <c r="I946" s="64" t="s">
        <v>183</v>
      </c>
      <c r="J946" s="132" t="s">
        <v>184</v>
      </c>
      <c r="K946" s="132"/>
      <c r="L946" s="132"/>
      <c r="M946" s="132"/>
      <c r="N946" s="132"/>
      <c r="O946" s="132"/>
      <c r="P946" s="132"/>
      <c r="Q946" s="132"/>
    </row>
    <row r="947" spans="2:17" hidden="1" outlineLevel="1">
      <c r="D947" s="11"/>
      <c r="E947" s="206"/>
      <c r="F947" s="56"/>
      <c r="G947" s="63" t="str">
        <f>IF($I947="","",EDATE(H947,-12))</f>
        <v/>
      </c>
      <c r="H947" s="63" t="str">
        <f>IF($I947="","",EDATE(I947,-12))</f>
        <v/>
      </c>
      <c r="I947" s="63" t="str">
        <f>IF($I$12="","",$I$12)</f>
        <v/>
      </c>
      <c r="J947" s="63" t="str">
        <f t="shared" ref="J947:Q947" si="249">IF($I947="","",EDATE(I947,12))</f>
        <v/>
      </c>
      <c r="K947" s="63" t="str">
        <f t="shared" si="249"/>
        <v/>
      </c>
      <c r="L947" s="63" t="str">
        <f t="shared" si="249"/>
        <v/>
      </c>
      <c r="M947" s="63" t="str">
        <f t="shared" si="249"/>
        <v/>
      </c>
      <c r="N947" s="63" t="str">
        <f t="shared" si="249"/>
        <v/>
      </c>
      <c r="O947" s="63" t="str">
        <f t="shared" si="249"/>
        <v/>
      </c>
      <c r="P947" s="63" t="str">
        <f t="shared" si="249"/>
        <v/>
      </c>
      <c r="Q947" s="63" t="str">
        <f t="shared" si="249"/>
        <v/>
      </c>
    </row>
    <row r="948" spans="2:17" hidden="1" outlineLevel="1">
      <c r="D948" s="52">
        <v>6</v>
      </c>
      <c r="E948" s="293" t="s">
        <v>206</v>
      </c>
      <c r="F948" s="55"/>
      <c r="G948" s="138"/>
      <c r="H948" s="138"/>
      <c r="I948" s="138"/>
      <c r="J948" s="138"/>
      <c r="K948" s="138"/>
      <c r="L948" s="138"/>
      <c r="M948" s="138"/>
      <c r="N948" s="138"/>
      <c r="O948" s="138"/>
      <c r="P948" s="106"/>
      <c r="Q948" s="106"/>
    </row>
    <row r="949" spans="2:17" hidden="1" outlineLevel="1">
      <c r="C949" s="9"/>
      <c r="D949" s="52">
        <v>7</v>
      </c>
      <c r="E949" s="293" t="s">
        <v>207</v>
      </c>
      <c r="F949" s="55"/>
      <c r="G949" s="138"/>
      <c r="H949" s="106"/>
      <c r="I949" s="139"/>
      <c r="J949" s="106"/>
      <c r="K949" s="106"/>
      <c r="L949" s="106"/>
      <c r="M949" s="106"/>
      <c r="N949" s="106"/>
      <c r="O949" s="106"/>
      <c r="P949" s="106"/>
      <c r="Q949" s="106"/>
    </row>
    <row r="950" spans="2:17" hidden="1" outlineLevel="1">
      <c r="C950" s="9"/>
      <c r="D950" s="5">
        <v>8</v>
      </c>
      <c r="E950" s="303" t="s">
        <v>210</v>
      </c>
      <c r="F950" s="20" t="s">
        <v>211</v>
      </c>
      <c r="G950" s="306"/>
      <c r="H950" s="306"/>
      <c r="I950" s="306"/>
      <c r="J950" s="306"/>
      <c r="K950" s="306"/>
      <c r="L950" s="306"/>
      <c r="M950" s="306"/>
      <c r="N950" s="306"/>
      <c r="O950" s="306"/>
      <c r="P950" s="229"/>
      <c r="Q950" s="229"/>
    </row>
    <row r="951" spans="2:17" hidden="1" outlineLevel="1">
      <c r="C951" s="9"/>
      <c r="D951" s="52">
        <v>9</v>
      </c>
      <c r="E951" s="293" t="s">
        <v>212</v>
      </c>
      <c r="F951" s="55" t="s">
        <v>287</v>
      </c>
      <c r="G951" s="306"/>
      <c r="H951" s="229"/>
      <c r="I951" s="307"/>
      <c r="J951" s="229"/>
      <c r="K951" s="229"/>
      <c r="L951" s="229"/>
      <c r="M951" s="229"/>
      <c r="N951" s="229"/>
      <c r="O951" s="229"/>
      <c r="P951" s="229"/>
      <c r="Q951" s="229"/>
    </row>
    <row r="952" spans="2:17" hidden="1" outlineLevel="1">
      <c r="C952" s="9"/>
      <c r="D952" s="7">
        <v>10</v>
      </c>
      <c r="E952" s="310" t="s">
        <v>213</v>
      </c>
      <c r="F952" s="22"/>
      <c r="G952" s="12" t="str">
        <f>IFERROR(+G948/G950,"")</f>
        <v/>
      </c>
      <c r="H952" s="13" t="str">
        <f>IFERROR(+H948/H950,"")</f>
        <v/>
      </c>
      <c r="I952" s="16" t="str">
        <f t="shared" ref="I952:Q952" si="250">IFERROR(+I948/I950,"")</f>
        <v/>
      </c>
      <c r="J952" s="13" t="str">
        <f t="shared" si="250"/>
        <v/>
      </c>
      <c r="K952" s="13" t="str">
        <f t="shared" si="250"/>
        <v/>
      </c>
      <c r="L952" s="13" t="str">
        <f t="shared" si="250"/>
        <v/>
      </c>
      <c r="M952" s="13" t="str">
        <f t="shared" si="250"/>
        <v/>
      </c>
      <c r="N952" s="13" t="str">
        <f t="shared" si="250"/>
        <v/>
      </c>
      <c r="O952" s="13" t="str">
        <f t="shared" si="250"/>
        <v/>
      </c>
      <c r="P952" s="13" t="str">
        <f t="shared" si="250"/>
        <v/>
      </c>
      <c r="Q952" s="13" t="str">
        <f t="shared" si="250"/>
        <v/>
      </c>
    </row>
    <row r="953" spans="2:17" hidden="1" outlineLevel="1">
      <c r="C953" s="9"/>
      <c r="D953" s="7">
        <v>11</v>
      </c>
      <c r="E953" s="310" t="s">
        <v>214</v>
      </c>
      <c r="F953" s="22" t="s">
        <v>215</v>
      </c>
      <c r="G953" s="14"/>
      <c r="H953" s="48" t="str">
        <f t="shared" ref="H953:Q953" si="251">IFERROR((H952-G952)/G952,"")</f>
        <v/>
      </c>
      <c r="I953" s="49" t="str">
        <f t="shared" si="251"/>
        <v/>
      </c>
      <c r="J953" s="48" t="str">
        <f t="shared" si="251"/>
        <v/>
      </c>
      <c r="K953" s="48" t="str">
        <f>IFERROR((K952-J952)/J952,"")</f>
        <v/>
      </c>
      <c r="L953" s="48" t="str">
        <f t="shared" si="251"/>
        <v/>
      </c>
      <c r="M953" s="48" t="str">
        <f t="shared" si="251"/>
        <v/>
      </c>
      <c r="N953" s="48" t="str">
        <f t="shared" si="251"/>
        <v/>
      </c>
      <c r="O953" s="48" t="str">
        <f t="shared" si="251"/>
        <v/>
      </c>
      <c r="P953" s="48" t="str">
        <f t="shared" si="251"/>
        <v/>
      </c>
      <c r="Q953" s="48" t="str">
        <f t="shared" si="251"/>
        <v/>
      </c>
    </row>
    <row r="954" spans="2:17" hidden="1" outlineLevel="1">
      <c r="C954" s="9"/>
      <c r="D954" s="7">
        <v>12</v>
      </c>
      <c r="E954" s="310" t="s">
        <v>216</v>
      </c>
      <c r="F954" s="21"/>
      <c r="G954" s="70" t="str">
        <f t="shared" ref="G954:Q954" si="252">IFERROR(+G949/G951,"")</f>
        <v/>
      </c>
      <c r="H954" s="71" t="str">
        <f t="shared" si="252"/>
        <v/>
      </c>
      <c r="I954" s="71" t="str">
        <f t="shared" si="252"/>
        <v/>
      </c>
      <c r="J954" s="71" t="str">
        <f t="shared" si="252"/>
        <v/>
      </c>
      <c r="K954" s="71" t="str">
        <f t="shared" si="252"/>
        <v/>
      </c>
      <c r="L954" s="71" t="str">
        <f t="shared" si="252"/>
        <v/>
      </c>
      <c r="M954" s="71" t="str">
        <f t="shared" si="252"/>
        <v/>
      </c>
      <c r="N954" s="71" t="str">
        <f t="shared" si="252"/>
        <v/>
      </c>
      <c r="O954" s="71" t="str">
        <f t="shared" si="252"/>
        <v/>
      </c>
      <c r="P954" s="71" t="str">
        <f t="shared" si="252"/>
        <v/>
      </c>
      <c r="Q954" s="71" t="str">
        <f t="shared" si="252"/>
        <v/>
      </c>
    </row>
    <row r="955" spans="2:17" hidden="1" outlineLevel="1">
      <c r="D955" s="7">
        <v>13</v>
      </c>
      <c r="E955" s="310" t="s">
        <v>217</v>
      </c>
      <c r="F955" s="21" t="s">
        <v>218</v>
      </c>
      <c r="G955" s="14"/>
      <c r="H955" s="48" t="str">
        <f t="shared" ref="H955:Q955" si="253">IFERROR((H954-G954)/G954,"")</f>
        <v/>
      </c>
      <c r="I955" s="49" t="str">
        <f t="shared" si="253"/>
        <v/>
      </c>
      <c r="J955" s="48" t="str">
        <f t="shared" si="253"/>
        <v/>
      </c>
      <c r="K955" s="48" t="str">
        <f t="shared" si="253"/>
        <v/>
      </c>
      <c r="L955" s="48" t="str">
        <f t="shared" si="253"/>
        <v/>
      </c>
      <c r="M955" s="48" t="str">
        <f t="shared" si="253"/>
        <v/>
      </c>
      <c r="N955" s="48" t="str">
        <f t="shared" si="253"/>
        <v/>
      </c>
      <c r="O955" s="48" t="str">
        <f t="shared" si="253"/>
        <v/>
      </c>
      <c r="P955" s="48" t="str">
        <f t="shared" si="253"/>
        <v/>
      </c>
      <c r="Q955" s="48" t="str">
        <f t="shared" si="253"/>
        <v/>
      </c>
    </row>
    <row r="956" spans="2:17" collapsed="1">
      <c r="E956" s="314"/>
    </row>
    <row r="957" spans="2:17" ht="20">
      <c r="B957" s="18" t="s">
        <v>338</v>
      </c>
      <c r="C957" s="66"/>
      <c r="G957" s="11"/>
      <c r="H957" s="11"/>
    </row>
    <row r="958" spans="2:17">
      <c r="C958" s="73"/>
      <c r="D958" s="73" t="s">
        <v>339</v>
      </c>
      <c r="E958" s="327"/>
      <c r="F958" s="41"/>
      <c r="P958" s="328"/>
    </row>
    <row r="959" spans="2:17">
      <c r="C959" s="9"/>
      <c r="D959" s="67" t="s">
        <v>340</v>
      </c>
      <c r="E959" s="329"/>
      <c r="F959" s="6"/>
    </row>
    <row r="960" spans="2:17">
      <c r="C960" s="9"/>
      <c r="D960" s="67" t="s">
        <v>341</v>
      </c>
      <c r="E960" s="329"/>
      <c r="F960" s="6"/>
    </row>
    <row r="961" spans="2:14">
      <c r="D961" s="68" t="s">
        <v>342</v>
      </c>
      <c r="F961" s="10"/>
    </row>
    <row r="962" spans="2:14">
      <c r="D962" s="120" t="s">
        <v>343</v>
      </c>
      <c r="F962" s="10"/>
    </row>
    <row r="963" spans="2:14">
      <c r="D963" s="120" t="s">
        <v>344</v>
      </c>
      <c r="F963" s="10"/>
    </row>
    <row r="964" spans="2:14">
      <c r="D964" s="120" t="s">
        <v>345</v>
      </c>
      <c r="F964" s="10"/>
    </row>
    <row r="965" spans="2:14">
      <c r="D965" s="120" t="s">
        <v>346</v>
      </c>
      <c r="F965" s="10"/>
    </row>
    <row r="966" spans="2:14">
      <c r="D966" s="120" t="s">
        <v>347</v>
      </c>
      <c r="F966" s="10"/>
    </row>
    <row r="967" spans="2:14">
      <c r="D967" s="120" t="s">
        <v>348</v>
      </c>
      <c r="F967" s="10"/>
    </row>
    <row r="968" spans="2:14">
      <c r="E968" s="308"/>
      <c r="F968" s="6"/>
    </row>
    <row r="969" spans="2:14" ht="20">
      <c r="B969" s="18" t="s">
        <v>349</v>
      </c>
      <c r="E969" s="308"/>
      <c r="F969" s="6"/>
    </row>
    <row r="970" spans="2:14">
      <c r="B970" s="8"/>
      <c r="C970" s="67" t="s">
        <v>350</v>
      </c>
    </row>
    <row r="971" spans="2:14" ht="36">
      <c r="C971" s="34"/>
      <c r="D971" s="7">
        <v>1</v>
      </c>
      <c r="E971" s="181" t="s">
        <v>351</v>
      </c>
      <c r="F971" s="33" t="s">
        <v>352</v>
      </c>
      <c r="G971" s="43" t="str">
        <f>IF(AND(③経費明細書!$H$67&lt;=(③経費明細書!G67/3),③経費明細書!$H$67&lt;=5000000000,③経費明細書!$H$67&gt;0),"該当","非該当")</f>
        <v>非該当</v>
      </c>
    </row>
    <row r="972" spans="2:14" ht="36" customHeight="1">
      <c r="D972" s="7">
        <v>2</v>
      </c>
      <c r="E972" s="181" t="s">
        <v>353</v>
      </c>
      <c r="F972" s="33" t="s">
        <v>352</v>
      </c>
      <c r="G972" s="43" t="str">
        <f>IF(①申請者情報!E10="1/4補助率を許容する",IF(AND(#REF!&lt;=(#REF!/4),#REF!&lt;=5000000000,#REF!&gt;0),"該当","非該当"),IF(①申請者情報!E10="1/4補助率を許容しない","－","非該当"))</f>
        <v>非該当</v>
      </c>
    </row>
    <row r="973" spans="2:14">
      <c r="D973" s="38">
        <v>3</v>
      </c>
      <c r="E973" s="181" t="s">
        <v>354</v>
      </c>
      <c r="F973" s="33" t="s">
        <v>355</v>
      </c>
      <c r="G973" s="43" t="str">
        <f>IF(OR($E$9="",$E$10="",$E$9&gt;$E$10,$E$10&gt;DATEVALUE("2027/12/31")),"非該当","該当")</f>
        <v>非該当</v>
      </c>
    </row>
    <row r="974" spans="2:14" ht="36">
      <c r="D974" s="7">
        <v>4</v>
      </c>
      <c r="E974" s="181" t="s">
        <v>356</v>
      </c>
      <c r="F974" s="33" t="s">
        <v>357</v>
      </c>
      <c r="G974" s="43" t="str">
        <f>IF(OR(AND($I$40&gt;=1,$I$40&lt;=2000),AND($I$40=0,$I$41&gt;=1,$I$41&lt;=2000)),"該当","非該当")</f>
        <v>非該当</v>
      </c>
      <c r="N974" s="6"/>
    </row>
    <row r="975" spans="2:14" ht="36">
      <c r="D975" s="7">
        <v>5</v>
      </c>
      <c r="E975" s="181" t="s">
        <v>358</v>
      </c>
      <c r="F975" s="33" t="s">
        <v>359</v>
      </c>
      <c r="G975" s="43" t="str">
        <f>IF(③経費明細書!$G$68&gt;=1000000000,"該当","非該当")</f>
        <v>非該当</v>
      </c>
      <c r="N975" s="6"/>
    </row>
    <row r="976" spans="2:14" ht="36">
      <c r="D976" s="7">
        <v>6</v>
      </c>
      <c r="E976" s="181" t="s">
        <v>360</v>
      </c>
      <c r="F976" s="33" t="s">
        <v>359</v>
      </c>
      <c r="G976" s="43" t="str">
        <f>IF(③経費明細書!$D$83&gt;0,"該当","非該当")</f>
        <v>非該当</v>
      </c>
      <c r="N976" s="6"/>
    </row>
    <row r="977" spans="4:17">
      <c r="D977" s="38">
        <v>7</v>
      </c>
      <c r="E977" s="39" t="s">
        <v>361</v>
      </c>
      <c r="F977" s="40" t="s">
        <v>357</v>
      </c>
      <c r="G977" s="270" t="str">
        <f>IF(COUNTIF(H978:Q986,"非該当"),"非該当","該当")</f>
        <v>非該当</v>
      </c>
      <c r="H977" s="58" t="s">
        <v>265</v>
      </c>
      <c r="I977" s="58">
        <v>2</v>
      </c>
      <c r="J977" s="58">
        <v>3</v>
      </c>
      <c r="K977" s="58">
        <v>4</v>
      </c>
      <c r="L977" s="58">
        <v>5</v>
      </c>
      <c r="M977" s="58">
        <v>6</v>
      </c>
      <c r="N977" s="58">
        <v>7</v>
      </c>
      <c r="O977" s="58">
        <v>8</v>
      </c>
      <c r="P977" s="58">
        <v>9</v>
      </c>
      <c r="Q977" s="58">
        <v>10</v>
      </c>
    </row>
    <row r="978" spans="4:17">
      <c r="D978" s="271"/>
      <c r="E978" s="272"/>
      <c r="F978" s="273"/>
      <c r="G978" s="44"/>
      <c r="H978" s="43" t="str">
        <f>IF(OR($G113="",$G113=【参考】業種!$F$2,$G113=【参考】業種!$G$2),"非該当","該当")</f>
        <v>非該当</v>
      </c>
      <c r="I978" s="43" t="str">
        <f>IF($G130="","－",IF(OR($G131="",$G131=【参考】業種!$F$2,$G131=【参考】業種!$G$2),"非該当","該当"))</f>
        <v>－</v>
      </c>
      <c r="J978" s="43" t="str">
        <f>IF($G148="","－",IF(OR($G149="",$G149=【参考】業種!$F$2,$G149=【参考】業種!$G$2),"非該当","該当"))</f>
        <v>－</v>
      </c>
      <c r="K978" s="43" t="str">
        <f>IF($G166="","－",IF(OR($G167="",$G167=【参考】業種!$F$2,$G167=【参考】業種!$G$2),"非該当","該当"))</f>
        <v>－</v>
      </c>
      <c r="L978" s="43" t="str">
        <f>IF($G184="","－",IF(OR($G185="",$G185=【参考】業種!$F$2,$G185=【参考】業種!$G$2),"非該当","該当"))</f>
        <v>－</v>
      </c>
      <c r="M978" s="43" t="str">
        <f>IF($G202="","－",IF(OR($G203="",$G203=【参考】業種!$F$2,$G203=【参考】業種!$G$2),"非該当","該当"))</f>
        <v>－</v>
      </c>
      <c r="N978" s="43" t="str">
        <f>IF($G220="","－",IF(OR($G221="",$G221=【参考】業種!$F$2,$G221=【参考】業種!$G$2),"非該当","該当"))</f>
        <v>－</v>
      </c>
      <c r="O978" s="43" t="str">
        <f>IF($G238="","－",IF(OR($G239="",$G239=【参考】業種!$F$2,$G239=【参考】業種!$G$2),"非該当","該当"))</f>
        <v>－</v>
      </c>
      <c r="P978" s="43" t="str">
        <f>IF($G256="","－",IF(OR($G257="",$G257=【参考】業種!$F$2,$G257=【参考】業種!$G$2),"非該当","該当"))</f>
        <v>－</v>
      </c>
      <c r="Q978" s="43" t="str">
        <f>IF($G274="","－",IF(OR($G275="",$G275=【参考】業種!$F$2,$G275=【参考】業種!$G$2),"非該当","該当"))</f>
        <v>－</v>
      </c>
    </row>
    <row r="979" spans="4:17">
      <c r="D979" s="271"/>
      <c r="E979" s="272"/>
      <c r="F979" s="273"/>
      <c r="H979" s="58">
        <v>11</v>
      </c>
      <c r="I979" s="58">
        <v>12</v>
      </c>
      <c r="J979" s="58">
        <v>13</v>
      </c>
      <c r="K979" s="58">
        <v>14</v>
      </c>
      <c r="L979" s="58">
        <v>15</v>
      </c>
      <c r="M979" s="58">
        <v>16</v>
      </c>
      <c r="N979" s="58">
        <v>17</v>
      </c>
      <c r="O979" s="58">
        <v>18</v>
      </c>
      <c r="P979" s="58">
        <v>19</v>
      </c>
      <c r="Q979" s="58">
        <v>20</v>
      </c>
    </row>
    <row r="980" spans="4:17">
      <c r="D980" s="271"/>
      <c r="E980" s="272"/>
      <c r="F980" s="273"/>
      <c r="H980" s="274" t="str">
        <f>IF($G292="","－",IF(OR($G293="",$G293=【参考】業種!$F$2,$G293=【参考】業種!$G$2),"非該当","該当"))</f>
        <v>－</v>
      </c>
      <c r="I980" s="274" t="str">
        <f>IF($G310="","－",IF(OR($G311="",$G311=【参考】業種!$F$2,$G311=【参考】業種!$G$2),"非該当","該当"))</f>
        <v>－</v>
      </c>
      <c r="J980" s="274" t="str">
        <f>IF($G328="","－",IF(OR($G329="",$G329=【参考】業種!$F$2,$G329=【参考】業種!$G$2),"非該当","該当"))</f>
        <v>－</v>
      </c>
      <c r="K980" s="274" t="str">
        <f>IF($G346="","－",IF(OR($G347="",$G347=【参考】業種!$F$2,$G347=【参考】業種!$G$2),"非該当","該当"))</f>
        <v>－</v>
      </c>
      <c r="L980" s="274" t="str">
        <f>IF($G364="","－",IF(OR($G365="",$G365=【参考】業種!$F$2,$G365=【参考】業種!$G$2),"非該当","該当"))</f>
        <v>－</v>
      </c>
      <c r="M980" s="274" t="str">
        <f>IF($G382="","－",IF(OR($G383="",$G383=【参考】業種!$F$2,$G383=【参考】業種!$G$2),"非該当","該当"))</f>
        <v>－</v>
      </c>
      <c r="N980" s="274" t="str">
        <f>IF($G400="","－",IF(OR($G401="",$G401=【参考】業種!$F$2,$G401=【参考】業種!$G$2),"非該当","該当"))</f>
        <v>－</v>
      </c>
      <c r="O980" s="274" t="str">
        <f>IF($G418="","－",IF(OR($G419="",$G419=【参考】業種!$F$2,$G419=【参考】業種!$G$2),"非該当","該当"))</f>
        <v>－</v>
      </c>
      <c r="P980" s="274" t="str">
        <f>IF($G436="","－",IF(OR($G437="",$G437=【参考】業種!$F$2,$G437=【参考】業種!$G$2),"非該当","該当"))</f>
        <v>－</v>
      </c>
      <c r="Q980" s="274" t="str">
        <f>IF($G454="","－",IF(OR($G455="",$G455=【参考】業種!$F$2,$G455=【参考】業種!$G$2),"非該当","該当"))</f>
        <v>－</v>
      </c>
    </row>
    <row r="981" spans="4:17">
      <c r="D981" s="271"/>
      <c r="E981" s="272"/>
      <c r="F981" s="273"/>
      <c r="H981" s="58">
        <v>21</v>
      </c>
      <c r="I981" s="58">
        <v>22</v>
      </c>
      <c r="J981" s="58">
        <v>23</v>
      </c>
      <c r="K981" s="58">
        <v>24</v>
      </c>
      <c r="L981" s="58">
        <v>25</v>
      </c>
      <c r="M981" s="58">
        <v>26</v>
      </c>
      <c r="N981" s="58">
        <v>27</v>
      </c>
      <c r="O981" s="58">
        <v>28</v>
      </c>
      <c r="P981" s="58">
        <v>29</v>
      </c>
      <c r="Q981" s="58">
        <v>30</v>
      </c>
    </row>
    <row r="982" spans="4:17">
      <c r="D982" s="271"/>
      <c r="E982" s="272"/>
      <c r="F982" s="273"/>
      <c r="H982" s="274" t="str">
        <f>IF($G472="","－",IF(OR($G473="",$G473=【参考】業種!$F$2,$G473=【参考】業種!$G$2),"非該当","該当"))</f>
        <v>－</v>
      </c>
      <c r="I982" s="274" t="str">
        <f>IF($G490="","－",IF(OR($G491="",$G491=【参考】業種!$F$2,$G491=【参考】業種!$G$2),"非該当","該当"))</f>
        <v>－</v>
      </c>
      <c r="J982" s="274" t="str">
        <f>IF($G508="","－",IF(OR($G509="",$G509=【参考】業種!$F$2,$G509=【参考】業種!$G$2),"非該当","該当"))</f>
        <v>－</v>
      </c>
      <c r="K982" s="274" t="str">
        <f>IF($G526="","－",IF(OR($G527="",$G527=【参考】業種!$F$2,$G527=【参考】業種!$G$2),"非該当","該当"))</f>
        <v>－</v>
      </c>
      <c r="L982" s="274" t="str">
        <f>IF($G544="","－",IF(OR($G545="",$G545=【参考】業種!$F$2,$G545=【参考】業種!$G$2),"非該当","該当"))</f>
        <v>－</v>
      </c>
      <c r="M982" s="274" t="str">
        <f>IF($G562="","－",IF(OR($G563="",$G563=【参考】業種!$F$2,$G563=【参考】業種!$G$2),"非該当","該当"))</f>
        <v>－</v>
      </c>
      <c r="N982" s="274" t="str">
        <f>IF($G580="","－",IF(OR($G581="",$G581=【参考】業種!$F$2,$G581=【参考】業種!$G$2),"非該当","該当"))</f>
        <v>－</v>
      </c>
      <c r="O982" s="274" t="str">
        <f>IF($G598="","－",IF(OR($G599="",$G599=【参考】業種!$F$2,$G599=【参考】業種!$G$2),"非該当","該当"))</f>
        <v>－</v>
      </c>
      <c r="P982" s="274" t="str">
        <f>IF($G616="","－",IF(OR($G617="",$G617=【参考】業種!$F$2,$G617=【参考】業種!$G$2),"非該当","該当"))</f>
        <v>－</v>
      </c>
      <c r="Q982" s="274" t="str">
        <f>IF($G634="","－",IF(OR($G635="",$G635=【参考】業種!$F$2,$G635=【参考】業種!$G$2),"非該当","該当"))</f>
        <v>－</v>
      </c>
    </row>
    <row r="983" spans="4:17">
      <c r="D983" s="271"/>
      <c r="E983" s="272"/>
      <c r="F983" s="273"/>
      <c r="H983" s="58">
        <v>31</v>
      </c>
      <c r="I983" s="58">
        <v>32</v>
      </c>
      <c r="J983" s="58">
        <v>33</v>
      </c>
      <c r="K983" s="58">
        <v>34</v>
      </c>
      <c r="L983" s="58">
        <v>35</v>
      </c>
      <c r="M983" s="58">
        <v>36</v>
      </c>
      <c r="N983" s="58">
        <v>37</v>
      </c>
      <c r="O983" s="58">
        <v>38</v>
      </c>
      <c r="P983" s="58">
        <v>39</v>
      </c>
      <c r="Q983" s="58">
        <v>40</v>
      </c>
    </row>
    <row r="984" spans="4:17">
      <c r="D984" s="271"/>
      <c r="E984" s="272"/>
      <c r="F984" s="273"/>
      <c r="H984" s="274" t="str">
        <f>IF($G652="","－",IF(OR($G653="",$G653=【参考】業種!$F$2,$G653=【参考】業種!$G$2),"非該当","該当"))</f>
        <v>－</v>
      </c>
      <c r="I984" s="274" t="str">
        <f>IF($G670="","－",IF(OR($G671="",$G671=【参考】業種!$F$2,$G671=【参考】業種!$G$2),"非該当","該当"))</f>
        <v>－</v>
      </c>
      <c r="J984" s="274" t="str">
        <f>IF($G688="","－",IF(OR($G689="",$G689=【参考】業種!$F$2,$G689=【参考】業種!$G$2),"非該当","該当"))</f>
        <v>－</v>
      </c>
      <c r="K984" s="274" t="str">
        <f>IF($G706="","－",IF(OR($G707="",$G707=【参考】業種!$F$2,$G707=【参考】業種!$G$2),"非該当","該当"))</f>
        <v>－</v>
      </c>
      <c r="L984" s="274" t="str">
        <f>IF($G724="","－",IF(OR($G725="",$G725=【参考】業種!$F$2,$G725=【参考】業種!$G$2),"非該当","該当"))</f>
        <v>－</v>
      </c>
      <c r="M984" s="274" t="str">
        <f>IF($G742="","－",IF(OR($G743="",$G743=【参考】業種!$F$2,$G743=【参考】業種!$G$2),"非該当","該当"))</f>
        <v>－</v>
      </c>
      <c r="N984" s="274" t="str">
        <f>IF($G760="","－",IF(OR($G761="",$G761=【参考】業種!$F$2,$G761=【参考】業種!$G$2),"非該当","該当"))</f>
        <v>－</v>
      </c>
      <c r="O984" s="274" t="str">
        <f>IF($G778="","－",IF(OR($G779="",$G779=【参考】業種!$F$2,$G779=【参考】業種!$G$2),"非該当","該当"))</f>
        <v>－</v>
      </c>
      <c r="P984" s="274" t="str">
        <f>IF($G796="","－",IF(OR($G797="",$G797=【参考】業種!$F$2,$G797=【参考】業種!$G$2),"非該当","該当"))</f>
        <v>－</v>
      </c>
      <c r="Q984" s="274" t="str">
        <f>IF($G814="","－",IF(OR($G815="",$G815=【参考】業種!$F$2,$G815=【参考】業種!$G$2),"非該当","該当"))</f>
        <v>－</v>
      </c>
    </row>
    <row r="985" spans="4:17">
      <c r="D985" s="271"/>
      <c r="E985" s="272"/>
      <c r="F985" s="273"/>
      <c r="H985" s="58">
        <v>41</v>
      </c>
      <c r="I985" s="58">
        <v>42</v>
      </c>
      <c r="J985" s="58">
        <v>43</v>
      </c>
      <c r="K985" s="58">
        <v>44</v>
      </c>
      <c r="L985" s="58">
        <v>45</v>
      </c>
      <c r="M985" s="58">
        <v>46</v>
      </c>
      <c r="N985" s="58">
        <v>47</v>
      </c>
    </row>
    <row r="986" spans="4:17">
      <c r="D986" s="271"/>
      <c r="E986" s="272"/>
      <c r="F986" s="273"/>
      <c r="G986" s="275"/>
      <c r="H986" s="274" t="str">
        <f>IF($G832="","－",IF(OR($G833="",$G833=【参考】業種!$F$2,$G833=【参考】業種!$G$2),"非該当","該当"))</f>
        <v>－</v>
      </c>
      <c r="I986" s="274" t="str">
        <f>IF($G850="","－",IF(OR($G851="",$G851=【参考】業種!$F$2,$G851=【参考】業種!$G$2),"非該当","該当"))</f>
        <v>－</v>
      </c>
      <c r="J986" s="274" t="str">
        <f>IF($G868="","－",IF(OR($G869="",$G869=【参考】業種!$F$2,$G869=【参考】業種!$G$2),"非該当","該当"))</f>
        <v>－</v>
      </c>
      <c r="K986" s="274" t="str">
        <f>IF($G886="","－",IF(OR($G887="",$G887=【参考】業種!$F$2,$G887=【参考】業種!$G$2),"非該当","該当"))</f>
        <v>－</v>
      </c>
      <c r="L986" s="274" t="str">
        <f>IF($G904="","－",IF(OR($G905="",$G905=【参考】業種!$F$2,$G905=【参考】業種!$G$2),"非該当","該当"))</f>
        <v>－</v>
      </c>
      <c r="M986" s="274" t="str">
        <f>IF($G922="","－",IF(OR($G923="",$G923=【参考】業種!$F$2,$G923=【参考】業種!$G$2),"非該当","該当"))</f>
        <v>－</v>
      </c>
      <c r="N986" s="274" t="str">
        <f>IF($G940="","－",IF(OR($G941="",$G941=【参考】業種!$F$2,$G941=【参考】業種!$G$2),"非該当","該当"))</f>
        <v>－</v>
      </c>
    </row>
    <row r="987" spans="4:17">
      <c r="D987" s="38">
        <v>8</v>
      </c>
      <c r="E987" s="188" t="s">
        <v>362</v>
      </c>
      <c r="F987" s="40" t="s">
        <v>359</v>
      </c>
      <c r="G987" s="44" t="str">
        <f>IF(COUNTIF(H988:Q996,"非該当"),"非該当",IF(COUNTIF(H988:Q996,"－")=COLUMNS(H988:Q988)+COLUMNS(H990:Q990)+COLUMNS(H992:Q992)+COLUMNS(H994:Q994)+COLUMNS(H996:N996),"－","該当"))</f>
        <v>非該当</v>
      </c>
      <c r="H987" s="58" t="s">
        <v>265</v>
      </c>
      <c r="I987" s="58">
        <v>2</v>
      </c>
      <c r="J987" s="58">
        <v>3</v>
      </c>
      <c r="K987" s="58">
        <v>4</v>
      </c>
      <c r="L987" s="58">
        <v>5</v>
      </c>
      <c r="M987" s="58">
        <v>6</v>
      </c>
      <c r="N987" s="58">
        <v>7</v>
      </c>
      <c r="O987" s="58">
        <v>8</v>
      </c>
      <c r="P987" s="58">
        <v>9</v>
      </c>
      <c r="Q987" s="58">
        <v>10</v>
      </c>
    </row>
    <row r="988" spans="4:17">
      <c r="D988" s="271"/>
      <c r="E988" s="272" t="s">
        <v>363</v>
      </c>
      <c r="F988" s="273"/>
      <c r="G988" s="44"/>
      <c r="H988" s="43" t="str">
        <f>IF($P115="－","－",IF(OR($P$115="",$Q$115="",$P$115&lt;$Q$115),"非該当","該当"))</f>
        <v>非該当</v>
      </c>
      <c r="I988" s="43" t="str">
        <f>IF(OR($G130="",$P133="－"),"－",IF(OR($P$133="",$Q$133="",$P$133&lt;$Q$133),"非該当","該当"))</f>
        <v>－</v>
      </c>
      <c r="J988" s="43" t="str">
        <f>IF(OR($G148="",$P151="－"),"－",IF(OR($P$151="",$Q$151="",$P$151&lt;$Q$151),"非該当","該当"))</f>
        <v>－</v>
      </c>
      <c r="K988" s="43" t="str">
        <f>IF(OR($G166="",$P169="－"),"－",IF(OR($P$169="",$Q$169="",$P$169&lt;$Q$169),"非該当","該当"))</f>
        <v>－</v>
      </c>
      <c r="L988" s="43" t="str">
        <f>IF(OR($G184="",$P187="－"),"－",IF(OR($P$187="",$Q$187="",$P$187&lt;$Q$187),"非該当","該当"))</f>
        <v>－</v>
      </c>
      <c r="M988" s="43" t="str">
        <f>IF(OR($G202="",$P205="－"),"－",IF(OR($P$205="",$Q$205="",$P$205&lt;$Q$205),"非該当","該当"))</f>
        <v>－</v>
      </c>
      <c r="N988" s="43" t="str">
        <f>IF(OR($G220="",$P223="－"),"－",IF(OR($P$223="",$Q$223="",$P$223&lt;$Q$223),"非該当","該当"))</f>
        <v>－</v>
      </c>
      <c r="O988" s="43" t="str">
        <f>IF(OR($G238="",$P241="－"),"－",IF(OR($P$241="",$Q$241="",$P$241&lt;$Q$241),"非該当","該当"))</f>
        <v>－</v>
      </c>
      <c r="P988" s="43" t="str">
        <f>IF(OR($G256="",$P259="－"),"－",IF(OR($P$259="",$Q$259="",$P$259&lt;$Q$259),"非該当","該当"))</f>
        <v>－</v>
      </c>
      <c r="Q988" s="43" t="str">
        <f>IF(OR($G274="",$P277="－"),"－",IF(OR($P$277="",$Q$277="",$P$277&lt;$Q$277),"非該当","該当"))</f>
        <v>－</v>
      </c>
    </row>
    <row r="989" spans="4:17">
      <c r="D989" s="271"/>
      <c r="E989" s="272"/>
      <c r="F989" s="273"/>
      <c r="H989" s="58">
        <v>11</v>
      </c>
      <c r="I989" s="58">
        <v>12</v>
      </c>
      <c r="J989" s="58">
        <v>13</v>
      </c>
      <c r="K989" s="58">
        <v>14</v>
      </c>
      <c r="L989" s="58">
        <v>15</v>
      </c>
      <c r="M989" s="58">
        <v>16</v>
      </c>
      <c r="N989" s="58">
        <v>17</v>
      </c>
      <c r="O989" s="58">
        <v>18</v>
      </c>
      <c r="P989" s="58">
        <v>19</v>
      </c>
      <c r="Q989" s="58">
        <v>20</v>
      </c>
    </row>
    <row r="990" spans="4:17">
      <c r="D990" s="271"/>
      <c r="E990" s="272"/>
      <c r="F990" s="273"/>
      <c r="H990" s="274" t="str">
        <f>IF(OR($G292="",$P295="－"),"－",IF(OR($P$295="",$Q$295="",$P$295&lt;$Q$295),"非該当","該当"))</f>
        <v>－</v>
      </c>
      <c r="I990" s="274" t="str">
        <f>IF(OR($G310="",$P313="－"),"－",IF(OR($P$313="",$Q$313="",$P$313&lt;$Q$313),"非該当","該当"))</f>
        <v>－</v>
      </c>
      <c r="J990" s="274" t="str">
        <f>IF(OR($G328="",$P331="－"),"－",IF(OR($P$331="",$Q$331="",$P$331&lt;$Q$331),"非該当","該当"))</f>
        <v>－</v>
      </c>
      <c r="K990" s="274" t="str">
        <f>IF(OR($G346="",$P349="－"),"－",IF(OR($P$349="",$Q$349="",$P$349&lt;$Q$349),"非該当","該当"))</f>
        <v>－</v>
      </c>
      <c r="L990" s="274" t="str">
        <f>IF(OR($G364="",$P367="－"),"－",IF(OR($P$367="",$Q$367="",$P$367&lt;$Q$367),"非該当","該当"))</f>
        <v>－</v>
      </c>
      <c r="M990" s="274" t="str">
        <f>IF(OR($G382="",$P385="－"),"－",IF(OR($P$385="",$Q$385="",$P$385&lt;$Q$385),"非該当","該当"))</f>
        <v>－</v>
      </c>
      <c r="N990" s="274" t="str">
        <f>IF(OR($G400="",$P403="－"),"－",IF(OR($P$403="",$Q$403="",$P$403&lt;$Q$403),"非該当","該当"))</f>
        <v>－</v>
      </c>
      <c r="O990" s="274" t="str">
        <f>IF(OR($G418="",$P421="－"),"－",IF(OR($P$421="",$Q$421="",$P$421&lt;$Q$421),"非該当","該当"))</f>
        <v>－</v>
      </c>
      <c r="P990" s="274" t="str">
        <f>IF(OR($G436="",$P439="－"),"－",IF(OR($P$439="",$Q$439="",$P$439&lt;$Q$439),"非該当","該当"))</f>
        <v>－</v>
      </c>
      <c r="Q990" s="274" t="str">
        <f>IF(OR($G454="",$P457="－"),"－",IF(OR($P$457="",$Q$457="",$P$457&lt;$Q$457),"非該当","該当"))</f>
        <v>－</v>
      </c>
    </row>
    <row r="991" spans="4:17">
      <c r="D991" s="271"/>
      <c r="E991" s="272"/>
      <c r="F991" s="273"/>
      <c r="H991" s="58">
        <v>21</v>
      </c>
      <c r="I991" s="58">
        <v>22</v>
      </c>
      <c r="J991" s="58">
        <v>23</v>
      </c>
      <c r="K991" s="58">
        <v>24</v>
      </c>
      <c r="L991" s="58">
        <v>25</v>
      </c>
      <c r="M991" s="58">
        <v>26</v>
      </c>
      <c r="N991" s="58">
        <v>27</v>
      </c>
      <c r="O991" s="58">
        <v>28</v>
      </c>
      <c r="P991" s="58">
        <v>29</v>
      </c>
      <c r="Q991" s="58">
        <v>30</v>
      </c>
    </row>
    <row r="992" spans="4:17">
      <c r="D992" s="271"/>
      <c r="E992" s="272"/>
      <c r="F992" s="273"/>
      <c r="H992" s="274" t="str">
        <f>IF(OR($G472="",$P475="－"),"－",IF(OR($P$475="",$Q$475="",$P$475&lt;$Q$475),"非該当","該当"))</f>
        <v>－</v>
      </c>
      <c r="I992" s="274" t="str">
        <f>IF(OR($G490="",$P493="－"),"－",IF(OR($P$493="",$Q$493="",$P$493&lt;$Q$493),"非該当","該当"))</f>
        <v>－</v>
      </c>
      <c r="J992" s="274" t="str">
        <f>IF(OR($G508="",$P511="－"),"－",IF(OR($P$511="",$Q$511="",$P$511&lt;$Q$511),"非該当","該当"))</f>
        <v>－</v>
      </c>
      <c r="K992" s="274" t="str">
        <f>IF(OR($G526="",$P529="－"),"－",IF(OR($P$529="",$Q$529="",$P$529&lt;$Q$529),"非該当","該当"))</f>
        <v>－</v>
      </c>
      <c r="L992" s="274" t="str">
        <f>IF(OR($G544="",$P547="－"),"－",IF(OR($P$547="",$Q$547="",$P$547&lt;$Q$547),"非該当","該当"))</f>
        <v>－</v>
      </c>
      <c r="M992" s="274" t="str">
        <f>IF(OR($G562="",$P565="－"),"－",IF(OR($P$565="",$Q$565="",$P$565&lt;$Q$565),"非該当","該当"))</f>
        <v>－</v>
      </c>
      <c r="N992" s="274" t="str">
        <f>IF(OR($G580="",$P583="－"),"－",IF(OR($P$583="",$Q$583="",$P$583&lt;$Q$583),"非該当","該当"))</f>
        <v>－</v>
      </c>
      <c r="O992" s="274" t="str">
        <f>IF(OR($G598="",$P601="－"),"－",IF(OR($P$601="",$Q$601="",$P$601&lt;$Q$601),"非該当","該当"))</f>
        <v>－</v>
      </c>
      <c r="P992" s="274" t="str">
        <f>IF(OR($G616="",$P619="－"),"－",IF(OR($P$619="",$Q$619="",$P$619&lt;$Q$619),"非該当","該当"))</f>
        <v>－</v>
      </c>
      <c r="Q992" s="274" t="str">
        <f>IF(OR($G634="",$P637="－"),"－",IF(OR($P$637="",$Q$637="",$P$637&lt;$Q$637),"非該当","該当"))</f>
        <v>－</v>
      </c>
    </row>
    <row r="993" spans="4:17">
      <c r="D993" s="271"/>
      <c r="E993" s="272"/>
      <c r="F993" s="273"/>
      <c r="H993" s="58">
        <v>31</v>
      </c>
      <c r="I993" s="58">
        <v>32</v>
      </c>
      <c r="J993" s="58">
        <v>33</v>
      </c>
      <c r="K993" s="58">
        <v>34</v>
      </c>
      <c r="L993" s="58">
        <v>35</v>
      </c>
      <c r="M993" s="58">
        <v>36</v>
      </c>
      <c r="N993" s="58">
        <v>37</v>
      </c>
      <c r="O993" s="58">
        <v>38</v>
      </c>
      <c r="P993" s="58">
        <v>39</v>
      </c>
      <c r="Q993" s="58">
        <v>40</v>
      </c>
    </row>
    <row r="994" spans="4:17">
      <c r="D994" s="271"/>
      <c r="E994" s="272"/>
      <c r="F994" s="273"/>
      <c r="H994" s="274" t="str">
        <f>IF(OR($G652="",$P655="－"),"－",IF(OR($P$655="",$Q$655="",$P$655&lt;$Q$655),"非該当","該当"))</f>
        <v>－</v>
      </c>
      <c r="I994" s="274" t="str">
        <f>IF(OR($G670="",$P673="－"),"－",IF(OR($P$673="",$Q$673="",$P$673&lt;$Q$673),"非該当","該当"))</f>
        <v>－</v>
      </c>
      <c r="J994" s="274" t="str">
        <f>IF(OR($G688="",$P691="－"),"－",IF(OR($P$691="",$Q$691="",$P$691&lt;$Q$691),"非該当","該当"))</f>
        <v>－</v>
      </c>
      <c r="K994" s="274" t="str">
        <f>IF(OR($G706="",$P709="－"),"－",IF(OR($P$709="",$Q$709="",$P$709&lt;$Q$709),"非該当","該当"))</f>
        <v>－</v>
      </c>
      <c r="L994" s="274" t="str">
        <f>IF(OR($G724="",$P727="－"),"－",IF(OR($P$727="",$Q$727="",$P$727&lt;$Q$727),"非該当","該当"))</f>
        <v>－</v>
      </c>
      <c r="M994" s="274" t="str">
        <f>IF(OR($G742="",$P745="－"),"－",IF(OR($P$745="",$Q$745="",$P$745&lt;$Q$745),"非該当","該当"))</f>
        <v>－</v>
      </c>
      <c r="N994" s="274" t="str">
        <f>IF(OR($G760="",$P763="－"),"－",IF(OR($P$763="",$Q$763="",$P$763&lt;$Q$763),"非該当","該当"))</f>
        <v>－</v>
      </c>
      <c r="O994" s="274" t="str">
        <f>IF(OR($G778="",$P781="－"),"－",IF(OR($P$781="",$Q$781="",$P$781&lt;$Q$781),"非該当","該当"))</f>
        <v>－</v>
      </c>
      <c r="P994" s="274" t="str">
        <f>IF(OR($G796="",$P799="－"),"－",IF(OR($P$799="",$Q$799="",$P$799&lt;$Q$799),"非該当","該当"))</f>
        <v>－</v>
      </c>
      <c r="Q994" s="274" t="str">
        <f>IF(OR($G814="",$P817="－"),"－",IF(OR($P$817="",$Q$817="",$P$817&lt;$Q$817),"非該当","該当"))</f>
        <v>－</v>
      </c>
    </row>
    <row r="995" spans="4:17">
      <c r="D995" s="271"/>
      <c r="E995" s="272"/>
      <c r="F995" s="273"/>
      <c r="H995" s="58">
        <v>41</v>
      </c>
      <c r="I995" s="58">
        <v>42</v>
      </c>
      <c r="J995" s="58">
        <v>43</v>
      </c>
      <c r="K995" s="58">
        <v>44</v>
      </c>
      <c r="L995" s="58">
        <v>45</v>
      </c>
      <c r="M995" s="58">
        <v>46</v>
      </c>
      <c r="N995" s="58">
        <v>47</v>
      </c>
    </row>
    <row r="996" spans="4:17">
      <c r="D996" s="271"/>
      <c r="E996" s="272"/>
      <c r="F996" s="273"/>
      <c r="H996" s="274" t="str">
        <f>IF(OR($G832="",$P835="－"),"－",IF(OR($P$835="",$Q$835="",$P$835&lt;$Q$835),"非該当","該当"))</f>
        <v>－</v>
      </c>
      <c r="I996" s="274" t="str">
        <f>IF(OR($G850="",$P853="－"),"－",IF(OR($P$853="",$Q$853="",$P$853&lt;$Q$853),"非該当","該当"))</f>
        <v>－</v>
      </c>
      <c r="J996" s="274" t="str">
        <f>IF(OR($G868="",$P871="－"),"－",IF(OR($P$871="",$Q$871="",$P$871&lt;$Q$871),"非該当","該当"))</f>
        <v>－</v>
      </c>
      <c r="K996" s="274" t="str">
        <f>IF(OR($G886="",$P889="－"),"－",IF(OR($P$889="",$Q$889="",$P$889&lt;$Q$889),"非該当","該当"))</f>
        <v>－</v>
      </c>
      <c r="L996" s="274" t="str">
        <f>IF(OR($G904="",$P907="－"),"－",IF(OR($P$907="",$Q$907="",$P$907&lt;$Q$907),"非該当","該当"))</f>
        <v>－</v>
      </c>
      <c r="M996" s="274" t="str">
        <f>IF(OR($G922="",$P925="－"),"－",IF(OR($P$925="",$Q$925="",$P$925&lt;$Q$925),"非該当","該当"))</f>
        <v>－</v>
      </c>
      <c r="N996" s="274" t="str">
        <f>IF(OR($G940="",$P943="－"),"－",IF(OR($P$943="",$Q$943="",$P$943&lt;$Q$943),"非該当","該当"))</f>
        <v>－</v>
      </c>
    </row>
    <row r="997" spans="4:17">
      <c r="D997" s="38">
        <v>9</v>
      </c>
      <c r="E997" s="188" t="s">
        <v>364</v>
      </c>
      <c r="F997" s="40" t="s">
        <v>359</v>
      </c>
      <c r="G997" s="44" t="str">
        <f>IF(COUNTIF(H998:Q1006,"非該当"),"非該当",IF(COUNTIF(H998:Q1006,"－")=COLUMNS(H998:Q998)+COLUMNS(H1000:Q1000)+COLUMNS(H1002:Q1002)+COLUMNS(H1004:Q1004)+COLUMNS(H1006:N1006),"－","該当"))</f>
        <v>非該当</v>
      </c>
      <c r="H997" s="58" t="s">
        <v>265</v>
      </c>
      <c r="I997" s="58">
        <v>2</v>
      </c>
      <c r="J997" s="58">
        <v>3</v>
      </c>
      <c r="K997" s="58">
        <v>4</v>
      </c>
      <c r="L997" s="58">
        <v>5</v>
      </c>
      <c r="M997" s="58">
        <v>6</v>
      </c>
      <c r="N997" s="58">
        <v>7</v>
      </c>
      <c r="O997" s="58">
        <v>8</v>
      </c>
      <c r="P997" s="58">
        <v>9</v>
      </c>
      <c r="Q997" s="58">
        <v>10</v>
      </c>
    </row>
    <row r="998" spans="4:17">
      <c r="D998" s="271"/>
      <c r="E998" s="272" t="s">
        <v>365</v>
      </c>
      <c r="F998" s="273"/>
      <c r="G998" s="44"/>
      <c r="H998" s="43" t="str">
        <f>IF($P116="－","－",IF(OR($P$116="",$Q$115="",$P$116&lt;$Q$115),"非該当","該当"))</f>
        <v>非該当</v>
      </c>
      <c r="I998" s="43" t="str">
        <f>IF(OR($G130="",$P134="－"),"－",IF(OR($P$134="",$Q$133="",$P$134&lt;$Q$133),"非該当","該当"))</f>
        <v>－</v>
      </c>
      <c r="J998" s="43" t="str">
        <f>IF(OR($G148="",$P152="－"),"－",IF(OR($P$152="",$Q$151="",$P$152&lt;$Q$151),"非該当","該当"))</f>
        <v>－</v>
      </c>
      <c r="K998" s="43" t="str">
        <f>IF(OR($G166="",$P170="－"),"－",IF(OR($P$170="",$Q$169="",$P$170&lt;$Q$169),"非該当","該当"))</f>
        <v>－</v>
      </c>
      <c r="L998" s="43" t="str">
        <f>IF(OR($G184="",$P188="－"),"－",IF(OR($P$188="",$Q$187="",$P$188&lt;$Q$187),"非該当","該当"))</f>
        <v>－</v>
      </c>
      <c r="M998" s="43" t="str">
        <f>IF(OR($G202="",$P206="－"),"－",IF(OR($P$206="",$Q$205="",$P$206&lt;$Q$205),"非該当","該当"))</f>
        <v>－</v>
      </c>
      <c r="N998" s="43" t="str">
        <f>IF(OR($G220="",$P224="－"),"－",IF(OR($P$224="",$Q$223="",$P$224&lt;$Q$223),"非該当","該当"))</f>
        <v>－</v>
      </c>
      <c r="O998" s="43" t="str">
        <f>IF(OR($G238="",$P242="－"),"－",IF(OR($P$242="",$Q$241="",$P$242&lt;$Q$241),"非該当","該当"))</f>
        <v>－</v>
      </c>
      <c r="P998" s="43" t="str">
        <f>IF(OR($G256="",$P260="－"),"－",IF(OR($P$260="",$Q$259="",$P$260&lt;$Q$259),"非該当","該当"))</f>
        <v>－</v>
      </c>
      <c r="Q998" s="43" t="str">
        <f>IF(OR($G274="",$P278="－"),"－",IF(OR($P$278="",$Q$277="",$P$278&lt;$Q$277),"非該当","該当"))</f>
        <v>－</v>
      </c>
    </row>
    <row r="999" spans="4:17">
      <c r="D999" s="271"/>
      <c r="E999" s="272"/>
      <c r="F999" s="273"/>
      <c r="H999" s="58">
        <v>11</v>
      </c>
      <c r="I999" s="58">
        <v>12</v>
      </c>
      <c r="J999" s="58">
        <v>13</v>
      </c>
      <c r="K999" s="58">
        <v>14</v>
      </c>
      <c r="L999" s="58">
        <v>15</v>
      </c>
      <c r="M999" s="58">
        <v>16</v>
      </c>
      <c r="N999" s="58">
        <v>17</v>
      </c>
      <c r="O999" s="58">
        <v>18</v>
      </c>
      <c r="P999" s="58">
        <v>19</v>
      </c>
      <c r="Q999" s="58">
        <v>20</v>
      </c>
    </row>
    <row r="1000" spans="4:17">
      <c r="D1000" s="271"/>
      <c r="E1000" s="272"/>
      <c r="F1000" s="273"/>
      <c r="H1000" s="274" t="str">
        <f>IF(OR($G292="",$P296="－"),"－",IF(OR($P$296="",$Q$295="",$P$296&lt;$Q$295),"非該当","該当"))</f>
        <v>－</v>
      </c>
      <c r="I1000" s="274" t="str">
        <f>IF(OR($G310="",$P314="－"),"－",IF(OR($P$314="",$Q$313="",$P$314&lt;$Q$313),"非該当","該当"))</f>
        <v>－</v>
      </c>
      <c r="J1000" s="274" t="str">
        <f>IF(OR($G328="",$P332="－"),"－",IF(OR($P$332="",$Q$331="",$P$332&lt;$Q$331),"非該当","該当"))</f>
        <v>－</v>
      </c>
      <c r="K1000" s="274" t="str">
        <f>IF(OR($G346="",$P350="－"),"－",IF(OR($P$350="",$Q$349="",$P$350&lt;$Q$349),"非該当","該当"))</f>
        <v>－</v>
      </c>
      <c r="L1000" s="274" t="str">
        <f>IF(OR($G364="",$P368="－"),"－",IF(OR($P$368="",$Q$367="",$P$368&lt;$Q$367),"非該当","該当"))</f>
        <v>－</v>
      </c>
      <c r="M1000" s="274" t="str">
        <f>IF(OR($G382="",$P386="－"),"－",IF(OR($P$386="",$Q$385="",$P$386&lt;$Q$385),"非該当","該当"))</f>
        <v>－</v>
      </c>
      <c r="N1000" s="274" t="str">
        <f>IF(OR($G400="",$P404="－"),"－",IF(OR($P$404="",$Q$403="",$P$404&lt;$Q$403),"非該当","該当"))</f>
        <v>－</v>
      </c>
      <c r="O1000" s="274" t="str">
        <f>IF(OR($G418="",$P422="－"),"－",IF(OR($P$422="",$Q$421="",$P$422&lt;$Q$421),"非該当","該当"))</f>
        <v>－</v>
      </c>
      <c r="P1000" s="274" t="str">
        <f>IF(OR($G436="",$P440="－"),"－",IF(OR($P$440="",$Q$439="",$P$440&lt;$Q$439),"非該当","該当"))</f>
        <v>－</v>
      </c>
      <c r="Q1000" s="274" t="str">
        <f>IF(OR($G454="",$P458="－"),"－",IF(OR($P$458="",$Q$457="",$P$458&lt;$Q$457),"非該当","該当"))</f>
        <v>－</v>
      </c>
    </row>
    <row r="1001" spans="4:17">
      <c r="D1001" s="271"/>
      <c r="E1001" s="272"/>
      <c r="F1001" s="273"/>
      <c r="H1001" s="58">
        <v>21</v>
      </c>
      <c r="I1001" s="58">
        <v>22</v>
      </c>
      <c r="J1001" s="58">
        <v>23</v>
      </c>
      <c r="K1001" s="58">
        <v>24</v>
      </c>
      <c r="L1001" s="58">
        <v>25</v>
      </c>
      <c r="M1001" s="58">
        <v>26</v>
      </c>
      <c r="N1001" s="58">
        <v>27</v>
      </c>
      <c r="O1001" s="58">
        <v>28</v>
      </c>
      <c r="P1001" s="58">
        <v>29</v>
      </c>
      <c r="Q1001" s="58">
        <v>30</v>
      </c>
    </row>
    <row r="1002" spans="4:17">
      <c r="D1002" s="271"/>
      <c r="E1002" s="272"/>
      <c r="F1002" s="273"/>
      <c r="H1002" s="274" t="str">
        <f>IF(OR($G472="",$P476="－"),"－",IF(OR($P$476="",$Q$475="",$P$476&lt;$Q$475),"非該当","該当"))</f>
        <v>－</v>
      </c>
      <c r="I1002" s="274" t="str">
        <f>IF(OR($G490="",$P494="－"),"－",IF(OR($P$494="",$Q$493="",$P$494&lt;$Q$493),"非該当","該当"))</f>
        <v>－</v>
      </c>
      <c r="J1002" s="274" t="str">
        <f>IF(OR($G508="",$P512="－"),"－",IF(OR($P$512="",$Q$511="",$P$512&lt;$Q$511),"非該当","該当"))</f>
        <v>－</v>
      </c>
      <c r="K1002" s="274" t="str">
        <f>IF(OR($G526="",$P530="－"),"－",IF(OR($P$530="",$Q$529="",$P$530&lt;$Q$529),"非該当","該当"))</f>
        <v>－</v>
      </c>
      <c r="L1002" s="274" t="str">
        <f>IF(OR($G544="",$P548="－"),"－",IF(OR($P$548="",$Q$547="",$P$548&lt;$Q$547),"非該当","該当"))</f>
        <v>－</v>
      </c>
      <c r="M1002" s="274" t="str">
        <f>IF(OR($G562="",$P566="－"),"－",IF(OR($P$566="",$Q$565="",$P$566&lt;$Q$565),"非該当","該当"))</f>
        <v>－</v>
      </c>
      <c r="N1002" s="274" t="str">
        <f>IF(OR($G580="",$P584="－"),"－",IF(OR($P$584="",$Q$583="",$P$584&lt;$Q$583),"非該当","該当"))</f>
        <v>－</v>
      </c>
      <c r="O1002" s="274" t="str">
        <f>IF(OR($G598="",$P602="－"),"－",IF(OR($P$602="",$Q$601="",$P$602&lt;$Q$601),"非該当","該当"))</f>
        <v>－</v>
      </c>
      <c r="P1002" s="274" t="str">
        <f>IF(OR($G616="",$P620="－"),"－",IF(OR($P$620="",$Q$619="",$P$620&lt;$Q$619),"非該当","該当"))</f>
        <v>－</v>
      </c>
      <c r="Q1002" s="274" t="str">
        <f>IF(OR($G634="",$P638="－"),"－",IF(OR($P$638="",$Q$637="",$P$638&lt;$Q$637),"非該当","該当"))</f>
        <v>－</v>
      </c>
    </row>
    <row r="1003" spans="4:17">
      <c r="D1003" s="271"/>
      <c r="E1003" s="272"/>
      <c r="F1003" s="273"/>
      <c r="H1003" s="58">
        <v>31</v>
      </c>
      <c r="I1003" s="58">
        <v>32</v>
      </c>
      <c r="J1003" s="58">
        <v>33</v>
      </c>
      <c r="K1003" s="58">
        <v>34</v>
      </c>
      <c r="L1003" s="58">
        <v>35</v>
      </c>
      <c r="M1003" s="58">
        <v>36</v>
      </c>
      <c r="N1003" s="58">
        <v>37</v>
      </c>
      <c r="O1003" s="58">
        <v>38</v>
      </c>
      <c r="P1003" s="58">
        <v>39</v>
      </c>
      <c r="Q1003" s="58">
        <v>40</v>
      </c>
    </row>
    <row r="1004" spans="4:17">
      <c r="D1004" s="271"/>
      <c r="E1004" s="272"/>
      <c r="F1004" s="273"/>
      <c r="H1004" s="274" t="str">
        <f>IF(OR($G652="",$P656="－"),"－",IF(OR($P$656="",$Q$655="",$P$656&lt;$Q$655),"非該当","該当"))</f>
        <v>－</v>
      </c>
      <c r="I1004" s="274" t="str">
        <f>IF(OR($G670="",$P674="－"),"－",IF(OR($P$674="",$Q$673="",$P$674&lt;$Q$673),"非該当","該当"))</f>
        <v>－</v>
      </c>
      <c r="J1004" s="274" t="str">
        <f>IF(OR($G688="",$P692="－"),"－",IF(OR($P$692="",$Q$691="",$P$692&lt;$Q$691),"非該当","該当"))</f>
        <v>－</v>
      </c>
      <c r="K1004" s="274" t="str">
        <f>IF(OR($G706="",$P710="－"),"－",IF(OR($P$710="",$Q$709="",$P$710&lt;$Q$709),"非該当","該当"))</f>
        <v>－</v>
      </c>
      <c r="L1004" s="274" t="str">
        <f>IF(OR($G724="",$P728="－"),"－",IF(OR($P$728="",$Q$727="",$P$728&lt;$Q$727),"非該当","該当"))</f>
        <v>－</v>
      </c>
      <c r="M1004" s="274" t="str">
        <f>IF(OR($G742="",$P746="－"),"－",IF(OR($P$746="",$Q$745="",$P$746&lt;$Q$745),"非該当","該当"))</f>
        <v>－</v>
      </c>
      <c r="N1004" s="274" t="str">
        <f>IF(OR($G760="",$P764="－"),"－",IF(OR($P$764="",$Q$763="",$P$764&lt;$Q$763),"非該当","該当"))</f>
        <v>－</v>
      </c>
      <c r="O1004" s="274" t="str">
        <f>IF(OR($G778="",$P782="－"),"－",IF(OR($P$782="",$Q$781="",$P$782&lt;$Q$781),"非該当","該当"))</f>
        <v>－</v>
      </c>
      <c r="P1004" s="274" t="str">
        <f>IF(OR($G796="",$P800="－"),"－",IF(OR($P$800="",$Q$799="",$P$800&lt;$Q$799),"非該当","該当"))</f>
        <v>－</v>
      </c>
      <c r="Q1004" s="274" t="str">
        <f>IF(OR($G814="",$P818="－"),"－",IF(OR($P$818="",$Q$817="",$P$818&lt;$Q$817),"非該当","該当"))</f>
        <v>－</v>
      </c>
    </row>
    <row r="1005" spans="4:17">
      <c r="D1005" s="271"/>
      <c r="E1005" s="272"/>
      <c r="F1005" s="273"/>
      <c r="H1005" s="58">
        <v>41</v>
      </c>
      <c r="I1005" s="58">
        <v>42</v>
      </c>
      <c r="J1005" s="58">
        <v>43</v>
      </c>
      <c r="K1005" s="58">
        <v>44</v>
      </c>
      <c r="L1005" s="58">
        <v>45</v>
      </c>
      <c r="M1005" s="58">
        <v>46</v>
      </c>
      <c r="N1005" s="58">
        <v>47</v>
      </c>
    </row>
    <row r="1006" spans="4:17">
      <c r="D1006" s="271"/>
      <c r="E1006" s="272"/>
      <c r="F1006" s="273"/>
      <c r="H1006" s="274" t="str">
        <f>IF(OR($G832="",$P836="－"),"－",IF(OR($P$836="",$Q$835="",$P$836&lt;$Q$835),"非該当","該当"))</f>
        <v>－</v>
      </c>
      <c r="I1006" s="274" t="str">
        <f>IF(OR($G850="",$P854="－"),"－",IF(OR($P$854="",$Q$853="",$P$854&lt;$Q$853),"非該当","該当"))</f>
        <v>－</v>
      </c>
      <c r="J1006" s="274" t="str">
        <f>IF(OR($G868="",$P872="－"),"－",IF(OR($P$872="",$Q$871="",$P$872&lt;$Q$871),"非該当","該当"))</f>
        <v>－</v>
      </c>
      <c r="K1006" s="274" t="str">
        <f>IF(OR($G886="",$P890="－"),"－",IF(OR($P$890="",$Q$889="",$P$890&lt;$Q$889),"非該当","該当"))</f>
        <v>－</v>
      </c>
      <c r="L1006" s="274" t="str">
        <f>IF(OR($G904="",$P908="－"),"－",IF(OR($P$908="",$Q$907="",$P$908&lt;$Q$907),"非該当","該当"))</f>
        <v>－</v>
      </c>
      <c r="M1006" s="274" t="str">
        <f>IF(OR($G922="",$P926="－"),"－",IF(OR($P$926="",$Q$925="",$P$926&lt;$Q$925),"非該当","該当"))</f>
        <v>－</v>
      </c>
      <c r="N1006" s="274" t="str">
        <f>IF(OR($G940="",$P944="－"),"－",IF(OR($P$944="",$Q$943="",$P$944&lt;$Q$943),"非該当","該当"))</f>
        <v>－</v>
      </c>
    </row>
    <row r="1007" spans="4:17" ht="36">
      <c r="D1007" s="7">
        <v>10</v>
      </c>
      <c r="E1007" s="37" t="s">
        <v>366</v>
      </c>
      <c r="F1007" s="33" t="s">
        <v>359</v>
      </c>
      <c r="G1007" s="43" t="str">
        <f>IF(AND(G987="該当",G997="該当"),"該当",IF(AND(OR(G987="－",G997="－"),OR(G987="該当",G997="該当")),"該当","非該当"))</f>
        <v>非該当</v>
      </c>
      <c r="J1007" s="47"/>
      <c r="N1007" s="6"/>
    </row>
    <row r="1008" spans="4:17" ht="36">
      <c r="D1008" s="7">
        <v>11</v>
      </c>
      <c r="E1008" s="181" t="s">
        <v>367</v>
      </c>
      <c r="F1008" s="33" t="s">
        <v>368</v>
      </c>
      <c r="G1008" s="43" t="str">
        <f>IF(SUM(③経費明細書!$G$47,③経費明細書!$G$51,③経費明細書!$G$55)&lt;=SUM(③経費明細書!$G$59,③経費明細書!$G$63),"非該当","該当")</f>
        <v>非該当</v>
      </c>
      <c r="J1008" s="47"/>
      <c r="N1008" s="6"/>
    </row>
    <row r="1009" spans="4:17">
      <c r="D1009" s="38">
        <v>12</v>
      </c>
      <c r="E1009" s="188" t="s">
        <v>369</v>
      </c>
      <c r="F1009" s="40" t="s">
        <v>359</v>
      </c>
      <c r="G1009" s="367" t="str">
        <f>IF(COUNTIF(H1010:Q1018,"非該当"),"非該当",IF(COUNTIF(H1010:Q1018,"－")=COLUMNS(H1010:Q1010)+COLUMNS(H1012:Q1012)+COLUMNS(H1014:Q1014)+COLUMNS(H1016:Q1016)+COLUMNS(H1018:N1018),"－","該当"))</f>
        <v>非該当</v>
      </c>
      <c r="H1009" s="58" t="s">
        <v>265</v>
      </c>
      <c r="I1009" s="58">
        <v>2</v>
      </c>
      <c r="J1009" s="58">
        <v>3</v>
      </c>
      <c r="K1009" s="58">
        <v>4</v>
      </c>
      <c r="L1009" s="58">
        <v>5</v>
      </c>
      <c r="M1009" s="58">
        <v>6</v>
      </c>
      <c r="N1009" s="58">
        <v>7</v>
      </c>
      <c r="O1009" s="58">
        <v>8</v>
      </c>
      <c r="P1009" s="58">
        <v>9</v>
      </c>
      <c r="Q1009" s="58">
        <v>10</v>
      </c>
    </row>
    <row r="1010" spans="4:17">
      <c r="D1010" s="271"/>
      <c r="E1010" s="330"/>
      <c r="F1010" s="273"/>
      <c r="G1010" s="276"/>
      <c r="H1010" s="274" t="str">
        <f>IFERROR(IF($G$98="－","－",IF(OR(HLOOKUP(EDATE($F$13,0),$G$119:$Q$127,6,FALSE)&lt;HLOOKUP($I$12,$G$119:$Q$127,6,FALSE),HLOOKUP(EDATE($F$13,0),$G$119:$Q$127,6,FALSE)="",HLOOKUP($I$12,$G$119:$Q$127,6,FALSE)=""),"非該当","該当")),"非該当")</f>
        <v>非該当</v>
      </c>
      <c r="I1010" s="274" t="str">
        <f>IFERROR(IF($G$100="","－",IF(OR(HLOOKUP(EDATE($F$13,0),$G$137:$Q$145,6,FALSE)&lt;HLOOKUP($I$12,$G$137:$Q$145,6,FALSE),HLOOKUP(EDATE($F$13,0),$G$137:$Q$145,6,FALSE)="",HLOOKUP($I$12,$G$137:$Q$145,6,FALSE)=""),"非該当","該当")),"")</f>
        <v>－</v>
      </c>
      <c r="J1010" s="274" t="str">
        <f>IFERROR(IF($H$100="","－",IF(OR(HLOOKUP(EDATE($F$13,0),$G$155:$Q$163,6,FALSE)&lt;HLOOKUP($I$12,$G$155:$Q$163,6,FALSE),HLOOKUP(EDATE($F$13,0),$G$155:$Q$163,6,FALSE)="",HLOOKUP($I$12,$G$155:$Q$163,6,FALSE)=""),"非該当","該当")),"")</f>
        <v>－</v>
      </c>
      <c r="K1010" s="274" t="str">
        <f>IFERROR(IF($I$100="","－",IF(OR(HLOOKUP(EDATE($F$13,0),$G$173:$Q$181,6,FALSE)&lt;HLOOKUP($I$12,$G$173:$Q$181,6,FALSE),HLOOKUP(EDATE($F$13,0),$G$173:$Q$181,6,FALSE)="",HLOOKUP($I$12,$G$173:$Q$181,6,FALSE)=""),"非該当","該当")),"")</f>
        <v>－</v>
      </c>
      <c r="L1010" s="274" t="str">
        <f>IFERROR(IF($J$100="","－",IF(OR(HLOOKUP(EDATE($F$13,0),$G$191:$Q$199,6,FALSE)&lt;HLOOKUP($I$12,$G$191:$Q$199,6,FALSE),HLOOKUP(EDATE($F$13,0),$G$191:$Q$199,6,FALSE)="",HLOOKUP($I$12,$G$191:$Q$199,6,FALSE)=""),"非該当","該当")),"")</f>
        <v>－</v>
      </c>
      <c r="M1010" s="274" t="str">
        <f>IFERROR(IF($K$100="","－",IF(OR(HLOOKUP(EDATE($F$13,0),$G$209:$Q$217,6,FALSE)&lt;HLOOKUP($I$12,$G$209:$Q$217,6,FALSE),HLOOKUP(EDATE($F$13,0),$G$209:$Q$217,6,FALSE)="",HLOOKUP($I$12,$G$209:$Q$217,6,FALSE)=""),"非該当","該当")),"")</f>
        <v>－</v>
      </c>
      <c r="N1010" s="274" t="str">
        <f>IFERROR(IF($L$100="","－",IF(OR(HLOOKUP(EDATE($F$13,0),$G$227:$Q$235,6,FALSE)&lt;HLOOKUP($I$12,$G$227:$Q$235,6,FALSE),HLOOKUP(EDATE($F$13,0),$G$227:$Q$235,6,FALSE)="",HLOOKUP($I$12,$G$227:$Q$235,6,FALSE)=""),"非該当","該当")),"")</f>
        <v>－</v>
      </c>
      <c r="O1010" s="274" t="str">
        <f>IFERROR(IF($M$100="","－",IF(OR(HLOOKUP(EDATE($F$13,0),$G$245:$Q$253,6,FALSE)&lt;HLOOKUP($I$12,$G$245:$Q$253,6,FALSE),HLOOKUP(EDATE($F$13,0),$G$245:$Q$253,6,FALSE)="",HLOOKUP($I$12,$G$245:$Q$253,6,FALSE)=""),"非該当","該当")),"")</f>
        <v>－</v>
      </c>
      <c r="P1010" s="274" t="str">
        <f>IFERROR(IF($N$100="","－",IF(OR(HLOOKUP(EDATE($F$13,0),$G$263:$Q$271,6,FALSE)&lt;HLOOKUP($I$12,$G$263:$Q$271,6,FALSE),HLOOKUP(EDATE($F$13,0),$G$263:$Q$271,6,FALSE)="",HLOOKUP($I$12,$G$263:$Q$271,6,FALSE)=""),"非該当","該当")),"")</f>
        <v>－</v>
      </c>
      <c r="Q1010" s="274" t="str">
        <f>IFERROR(IF($O$100="","－",IF(OR(HLOOKUP(EDATE($F$13,0),$G$281:$Q$289,6,FALSE)&lt;HLOOKUP($I$12,$G$281:$Q$289,6,FALSE),HLOOKUP(EDATE($F$13,0),$G$281:$Q$289,6,FALSE)="",HLOOKUP($I$12,$G$281:$Q$289,6,FALSE)=""),"非該当","該当")),"")</f>
        <v>－</v>
      </c>
    </row>
    <row r="1011" spans="4:17">
      <c r="D1011" s="271"/>
      <c r="E1011" s="330"/>
      <c r="F1011" s="273"/>
      <c r="H1011" s="58">
        <v>11</v>
      </c>
      <c r="I1011" s="58">
        <v>12</v>
      </c>
      <c r="J1011" s="58">
        <v>13</v>
      </c>
      <c r="K1011" s="58">
        <v>14</v>
      </c>
      <c r="L1011" s="58">
        <v>15</v>
      </c>
      <c r="M1011" s="58">
        <v>16</v>
      </c>
      <c r="N1011" s="58">
        <v>17</v>
      </c>
      <c r="O1011" s="58">
        <v>18</v>
      </c>
      <c r="P1011" s="58">
        <v>19</v>
      </c>
      <c r="Q1011" s="58">
        <v>20</v>
      </c>
    </row>
    <row r="1012" spans="4:17">
      <c r="D1012" s="271"/>
      <c r="E1012" s="330"/>
      <c r="F1012" s="273"/>
      <c r="H1012" s="274" t="str">
        <f>IFERROR(IF($P$100="","－",IF(OR(HLOOKUP(EDATE($F$13,0),$G$299:$Q$307,6,FALSE)&lt;HLOOKUP($I$12,$G$299:$Q$307,6,FALSE),HLOOKUP(EDATE($F$13,0),$G$299:$Q$307,6,FALSE)="",HLOOKUP($I$12,$G$299:$Q$307,6,FALSE)=""),"非該当","該当")),"")</f>
        <v>－</v>
      </c>
      <c r="I1012" s="43" t="str">
        <f>IFERROR(IF($G$102="","－",IF(OR(HLOOKUP(EDATE($F$13,0),$G$317:$Q$325,6,FALSE)&lt;HLOOKUP($I$12,$G$317:$Q$325,6,FALSE),HLOOKUP(EDATE($F$13,0),$G$317:$Q$325,6,FALSE)="",HLOOKUP($I$12,$G$317:$Q$325,6,FALSE)=""),"非該当","該当")),"")</f>
        <v>－</v>
      </c>
      <c r="J1012" s="43" t="str">
        <f>IFERROR(IF($H$102="","－",IF(OR(HLOOKUP(EDATE($F$13,0),$G$335:$Q$343,6,FALSE)&lt;HLOOKUP($I$12,$G$335:$Q$343,6,FALSE),HLOOKUP(EDATE($F$13,0),$G$335:$Q$343,6,FALSE)="",HLOOKUP($I$12,$G$335:$Q$343,6,FALSE)=""),"非該当","該当")),"")</f>
        <v>－</v>
      </c>
      <c r="K1012" s="43" t="str">
        <f>IFERROR(IF($I$102="","－",IF(OR(HLOOKUP(EDATE($F$13,0),$G$353:$Q$361,6,FALSE)&lt;HLOOKUP($I$12,$G$353:$Q$361,6,FALSE),HLOOKUP(EDATE($F$13,0),$G$353:$Q$361,6,FALSE)="",HLOOKUP($I$12,$G$353:$Q$361,6,FALSE)=""),"非該当","該当")),"")</f>
        <v>－</v>
      </c>
      <c r="L1012" s="43" t="str">
        <f>IFERROR(IF($J$102="","－",IF(OR(HLOOKUP(EDATE($F$13,0),$G$371:$Q$379,6,FALSE)&lt;HLOOKUP($I$12,$G$371:$Q$379,6,FALSE),HLOOKUP(EDATE($F$13,0),$G$371:$Q$379,6,FALSE)="",HLOOKUP($I$12,$G$371:$Q$379,6,FALSE)=""),"非該当","該当")),"")</f>
        <v>－</v>
      </c>
      <c r="M1012" s="43" t="str">
        <f>IFERROR(IF($K$102="","－",IF(OR(HLOOKUP(EDATE($F$13,0),$G$389:$Q$397,6,FALSE)&lt;HLOOKUP($I$12,$G$389:$Q$397,6,FALSE),HLOOKUP(EDATE($F$13,0),$G$389:$Q$397,6,FALSE)="",HLOOKUP($I$12,$G$389:$Q$397,6,FALSE)=""),"非該当","該当")),"")</f>
        <v>－</v>
      </c>
      <c r="N1012" s="43" t="str">
        <f>IFERROR(IF($L$102="","－",IF(OR(HLOOKUP(EDATE($F$13,0),$G$407:$Q$415,6,FALSE)&lt;HLOOKUP($I$12,$G$407:$Q$415,6,FALSE),HLOOKUP(EDATE($F$13,0),$G$407:$Q$415,6,FALSE)="",HLOOKUP($I$12,$G$407:$Q$415,6,FALSE)=""),"非該当","該当")),"")</f>
        <v>－</v>
      </c>
      <c r="O1012" s="43" t="str">
        <f>IFERROR(IF($M$102="","－",IF(OR(HLOOKUP(EDATE($F$13,0),$G$425:$Q$433,6,FALSE)&lt;HLOOKUP($I$12,$G$425:$Q$433,6,FALSE),HLOOKUP(EDATE($F$13,0),$G$425:$Q$433,6,FALSE)="",HLOOKUP($I$12,$G$425:$Q$433,6,FALSE)=""),"非該当","該当")),"")</f>
        <v>－</v>
      </c>
      <c r="P1012" s="43" t="str">
        <f>IFERROR(IF($N$102="","－",IF(OR(HLOOKUP(EDATE($F$13,0),$G$443:$Q$451,6,FALSE)&lt;HLOOKUP($I$12,$G$443:$Q$451,6,FALSE),HLOOKUP(EDATE($F$13,0),$G$443:$Q$451,6,FALSE)="",HLOOKUP($I$12,$G$443:$Q$451,6,FALSE)=""),"非該当","該当")),"")</f>
        <v>－</v>
      </c>
      <c r="Q1012" s="43" t="str">
        <f>IFERROR(IF($O$102="","－",IF(OR(HLOOKUP(EDATE($F$13,0),$G$461:$Q$469,6,FALSE)&lt;HLOOKUP($I$12,$G$461:$Q$469,6,FALSE),HLOOKUP(EDATE($F$13,0),$G$461:$Q$469,6,FALSE)="",HLOOKUP($I$12,$G$461:$Q$469,6,FALSE)=""),"非該当","該当")),"")</f>
        <v>－</v>
      </c>
    </row>
    <row r="1013" spans="4:17">
      <c r="D1013" s="271"/>
      <c r="E1013" s="330"/>
      <c r="F1013" s="273"/>
      <c r="H1013" s="58">
        <v>21</v>
      </c>
      <c r="I1013" s="58">
        <v>22</v>
      </c>
      <c r="J1013" s="58">
        <v>23</v>
      </c>
      <c r="K1013" s="58">
        <v>24</v>
      </c>
      <c r="L1013" s="58">
        <v>25</v>
      </c>
      <c r="M1013" s="58">
        <v>26</v>
      </c>
      <c r="N1013" s="58">
        <v>27</v>
      </c>
      <c r="O1013" s="58">
        <v>28</v>
      </c>
      <c r="P1013" s="58">
        <v>29</v>
      </c>
      <c r="Q1013" s="58">
        <v>30</v>
      </c>
    </row>
    <row r="1014" spans="4:17">
      <c r="D1014" s="271"/>
      <c r="E1014" s="330"/>
      <c r="F1014" s="273"/>
      <c r="H1014" s="274" t="str">
        <f>IFERROR(IF($P$102="","－",IF(OR(HLOOKUP(EDATE($F$13,0),$G$479:$Q$487,6,FALSE)&lt;HLOOKUP($I$12,$G$479:$Q$487,6,FALSE),HLOOKUP(EDATE($F$13,0),$G$479:$Q$487,6,FALSE)="",HLOOKUP($I$12,$G$479:$Q$487,6,FALSE)=""),"非該当","該当")),"")</f>
        <v>－</v>
      </c>
      <c r="I1014" s="43" t="str">
        <f>IFERROR(IF($G$104="","－",IF(OR(HLOOKUP(EDATE($F$13,0),$G$497:$Q$505,6,FALSE)&lt;HLOOKUP($I$12,$G$497:$Q$505,6,FALSE),HLOOKUP(EDATE($F$13,0),$G$497:$Q$505,6,FALSE)="",HLOOKUP($I$12,$G$497:$Q$505,6,FALSE)=""),"非該当","該当")),"")</f>
        <v>－</v>
      </c>
      <c r="J1014" s="43" t="str">
        <f>IFERROR(IF($H$104="","－",IF(OR(HLOOKUP(EDATE($F$13,0),$G$515:$Q$523,6,FALSE)&lt;HLOOKUP($I$12,$G$515:$Q$523,6,FALSE),HLOOKUP(EDATE($F$13,0),$G$515:$Q$523,6,FALSE)="",HLOOKUP($I$12,$G$515:$Q$523,6,FALSE)=""),"非該当","該当")),"")</f>
        <v>－</v>
      </c>
      <c r="K1014" s="43" t="str">
        <f>IFERROR(IF($I$104="","－",IF(OR(HLOOKUP(EDATE($F$13,0),$G$533:$Q$541,6,FALSE)&lt;HLOOKUP($I$12,$G$533:$Q$541,6,FALSE),HLOOKUP(EDATE($F$13,0),$G$533:$Q$541,6,FALSE)="",HLOOKUP($I$12,$G$533:$Q$541,6,FALSE)=""),"非該当","該当")),"")</f>
        <v>－</v>
      </c>
      <c r="L1014" s="43" t="str">
        <f>IFERROR(IF($J$104="","－",IF(OR(HLOOKUP(EDATE($F$13,0),$G$551:$Q$559,6,FALSE)&lt;HLOOKUP($I$12,$G$551:$Q$559,6,FALSE),HLOOKUP(EDATE($F$13,0),$G$551:$Q$559,6,FALSE)="",HLOOKUP($I$12,$G$551:$Q$559,6,FALSE)=""),"非該当","該当")),"")</f>
        <v>－</v>
      </c>
      <c r="M1014" s="43" t="str">
        <f>IFERROR(IF($K$104="","－",IF(OR(HLOOKUP(EDATE($F$13,0),$G$569:$Q$577,6,FALSE)&lt;HLOOKUP($I$12,$G$569:$Q$577,6,FALSE),HLOOKUP(EDATE($F$13,0),$G$569:$Q$577,6,FALSE)="",HLOOKUP($I$12,$G$569:$Q$577,6,FALSE)=""),"非該当","該当")),"")</f>
        <v>－</v>
      </c>
      <c r="N1014" s="43" t="str">
        <f>IFERROR(IF($L$104="","－",IF(OR(HLOOKUP(EDATE($F$13,0),$G$587:$Q$595,6,FALSE)&lt;HLOOKUP($I$12,$G$587:$Q$595,6,FALSE),HLOOKUP(EDATE($F$13,0),$G$587:$Q$595,6,FALSE)="",HLOOKUP($I$12,$G$587:$Q$595,6,FALSE)=""),"非該当","該当")),"")</f>
        <v>－</v>
      </c>
      <c r="O1014" s="43" t="str">
        <f>IFERROR(IF($M$104="","－",IF(OR(HLOOKUP(EDATE($F$13,0),$G$605:$Q$613,6,FALSE)&lt;HLOOKUP($I$12,$G$605:$Q$613,6,FALSE),HLOOKUP(EDATE($F$13,0),$G$605:$Q$613,6,FALSE)="",HLOOKUP($I$12,$G$605:$Q$613,6,FALSE)=""),"非該当","該当")),"")</f>
        <v>－</v>
      </c>
      <c r="P1014" s="43" t="str">
        <f>IFERROR(IF($N$104="","－",IF(OR(HLOOKUP(EDATE($F$13,0),$G$623:$Q$631,6,FALSE)&lt;HLOOKUP($I$12,$G$623:$Q$631,6,FALSE),HLOOKUP(EDATE($F$13,0),$G$623:$Q$631,6,FALSE)="",HLOOKUP($I$12,$G$623:$Q$631,6,FALSE)=""),"非該当","該当")),"")</f>
        <v>－</v>
      </c>
      <c r="Q1014" s="43" t="str">
        <f>IFERROR(IF($O$104="","－",IF(OR(HLOOKUP(EDATE($F$13,0),$G$641:$Q$649,6,FALSE)&lt;HLOOKUP($I$12,$G$641:$Q$649,6,FALSE),HLOOKUP(EDATE($F$13,0),$G$641:$Q$649,6,FALSE)="",HLOOKUP($I$12,$G$641:$Q$649,6,FALSE)=""),"非該当","該当")),"")</f>
        <v>－</v>
      </c>
    </row>
    <row r="1015" spans="4:17">
      <c r="D1015" s="271"/>
      <c r="E1015" s="330"/>
      <c r="F1015" s="273"/>
      <c r="H1015" s="58">
        <v>31</v>
      </c>
      <c r="I1015" s="58">
        <v>32</v>
      </c>
      <c r="J1015" s="58">
        <v>33</v>
      </c>
      <c r="K1015" s="58">
        <v>34</v>
      </c>
      <c r="L1015" s="58">
        <v>35</v>
      </c>
      <c r="M1015" s="58">
        <v>36</v>
      </c>
      <c r="N1015" s="58">
        <v>37</v>
      </c>
      <c r="O1015" s="58">
        <v>38</v>
      </c>
      <c r="P1015" s="58">
        <v>39</v>
      </c>
      <c r="Q1015" s="58">
        <v>40</v>
      </c>
    </row>
    <row r="1016" spans="4:17">
      <c r="D1016" s="271"/>
      <c r="E1016" s="330"/>
      <c r="F1016" s="273"/>
      <c r="H1016" s="274" t="str">
        <f>IFERROR(IF($P$104="","－",IF(OR(HLOOKUP(EDATE($F$13,0),$G$659:$Q$667,6,FALSE)&lt;HLOOKUP($I$12,$G$659:$Q$667,6,FALSE),HLOOKUP(EDATE($F$13,0),$G$659:$Q$667,6,FALSE)="",HLOOKUP($I$12,$G$659:$Q$667,6,FALSE)=""),"非該当","該当")),"")</f>
        <v>－</v>
      </c>
      <c r="I1016" s="43" t="str">
        <f>IFERROR(IF($G$106="","－",IF(OR(HLOOKUP(EDATE($F$13,0),$G$677:$Q$685,6,FALSE)&lt;HLOOKUP($I$12,$G$677:$Q$685,6,FALSE),HLOOKUP(EDATE($F$13,0),$G$677:$Q$685,6,FALSE)="",HLOOKUP($I$12,$G$677:$Q$685,6,FALSE)=""),"非該当","該当")),"")</f>
        <v>－</v>
      </c>
      <c r="J1016" s="43" t="str">
        <f>IFERROR(IF($H$106="","－",IF(OR(HLOOKUP(EDATE($F$13,0),$G$695:$Q$703,6,FALSE)&lt;HLOOKUP($I$12,$G$695:$Q$703,6,FALSE),HLOOKUP(EDATE($F$13,0),$G$695:$Q$703,6,FALSE)="",HLOOKUP($I$12,$G$695:$Q$703,6,FALSE)=""),"非該当","該当")),"")</f>
        <v>－</v>
      </c>
      <c r="K1016" s="43" t="str">
        <f>IFERROR(IF($I$106="","－",IF(OR(HLOOKUP(EDATE($F$13,0),$G$713:$Q$721,6,FALSE)&lt;HLOOKUP($I$12,$G$713:$Q$721,6,FALSE),HLOOKUP(EDATE($F$13,0),$G$713:$Q$721,6,FALSE)="",HLOOKUP($I$12,$G$713:$Q$721,6,FALSE)=""),"非該当","該当")),"")</f>
        <v>－</v>
      </c>
      <c r="L1016" s="43" t="str">
        <f>IFERROR(IF($J$106="","－",IF(OR(HLOOKUP(EDATE($F$13,0),$G$731:$Q$739,6,FALSE)&lt;HLOOKUP($I$12,$G$731:$Q$739,6,FALSE),HLOOKUP(EDATE($F$13,0),$G$731:$Q$739,6,FALSE)="",HLOOKUP($I$12,$G$731:$Q$739,6,FALSE)=""),"非該当","該当")),"")</f>
        <v>－</v>
      </c>
      <c r="M1016" s="43" t="str">
        <f>IFERROR(IF($K$106="","－",IF(OR(HLOOKUP(EDATE($F$13,0),$G$749:$Q$757,6,FALSE)&lt;HLOOKUP($I$12,$G$749:$Q$757,6,FALSE),HLOOKUP(EDATE($F$13,0),$G$749:$Q$757,6,FALSE)="",HLOOKUP($I$12,$G$749:$Q$757,6,FALSE)=""),"非該当","該当")),"")</f>
        <v>－</v>
      </c>
      <c r="N1016" s="43" t="str">
        <f>IFERROR(IF($L$106="","－",IF(OR(HLOOKUP(EDATE($F$13,0),$G$767:$Q$775,6,FALSE)&lt;HLOOKUP($I$12,$G$767:$Q$775,6,FALSE),HLOOKUP(EDATE($F$13,0),$G$767:$Q$775,6,FALSE)="",HLOOKUP($I$12,$G$767:$Q$775,6,FALSE)=""),"非該当","該当")),"")</f>
        <v>－</v>
      </c>
      <c r="O1016" s="43" t="str">
        <f>IFERROR(IF($M$106="","－",IF(OR(HLOOKUP(EDATE($F$13,0),$G$785:$Q$793,6,FALSE)&lt;HLOOKUP($I$12,$G$785:$Q$793,6,FALSE),HLOOKUP(EDATE($F$13,0),$G$785:$Q$793,6,FALSE)="",HLOOKUP($I$12,$G$785:$Q$793,6,FALSE)=""),"非該当","該当")),"")</f>
        <v>－</v>
      </c>
      <c r="P1016" s="43" t="str">
        <f>IFERROR(IF($N$106="","－",IF(OR(HLOOKUP(EDATE($F$13,0),$G$803:$Q$811,6,FALSE)&lt;HLOOKUP($I$12,$G$803:$Q$811,6,FALSE),HLOOKUP(EDATE($F$13,0),$G$803:$Q$811,6,FALSE)="",HLOOKUP($I$12,$G$803:$Q$811,6,FALSE)=""),"非該当","該当")),"")</f>
        <v>－</v>
      </c>
      <c r="Q1016" s="43" t="str">
        <f>IFERROR(IF($O$106="","－",IF(OR(HLOOKUP(EDATE($F$13,0),$G$821:$Q$829,6,FALSE)&lt;HLOOKUP($I$12,$G$821:$Q$829,6,FALSE),HLOOKUP(EDATE($F$13,0),$G$821:$Q$829,6,FALSE)="",HLOOKUP($I$12,$G$821:$Q$829,6,FALSE)=""),"非該当","該当")),"")</f>
        <v>－</v>
      </c>
    </row>
    <row r="1017" spans="4:17">
      <c r="D1017" s="271"/>
      <c r="E1017" s="330"/>
      <c r="F1017" s="273"/>
      <c r="H1017" s="58">
        <v>41</v>
      </c>
      <c r="I1017" s="58">
        <v>42</v>
      </c>
      <c r="J1017" s="58">
        <v>43</v>
      </c>
      <c r="K1017" s="58">
        <v>44</v>
      </c>
      <c r="L1017" s="58">
        <v>45</v>
      </c>
      <c r="M1017" s="58">
        <v>46</v>
      </c>
      <c r="N1017" s="58">
        <v>47</v>
      </c>
    </row>
    <row r="1018" spans="4:17">
      <c r="D1018" s="271"/>
      <c r="E1018" s="330"/>
      <c r="F1018" s="273"/>
      <c r="H1018" s="274" t="str">
        <f>IFERROR(IF($P$106="","－",IF(OR(HLOOKUP(EDATE($F$13,0),$G$839:$Q$847,6,FALSE)&lt;HLOOKUP($I$12,$G$839:$Q$847,6,FALSE),HLOOKUP(EDATE($F$13,0),$G$839:$Q$847,6,FALSE)="",HLOOKUP($I$12,$G$839:$Q$847,6,FALSE)=""),"非該当","該当")),"")</f>
        <v>－</v>
      </c>
      <c r="I1018" s="274" t="str">
        <f>IFERROR(IF($G$108="","－",IF(OR(HLOOKUP(EDATE($F$13,0),$G$857:$Q$865,6,FALSE)&lt;HLOOKUP($I$12,$G$857:$Q$865,6,FALSE),HLOOKUP(EDATE($F$13,0),$G$857:$Q$865,6,FALSE)="",HLOOKUP($I$12,$G$857:$Q$865,6,FALSE)=""),"非該当","該当")),"")</f>
        <v>－</v>
      </c>
      <c r="J1018" s="274" t="str">
        <f>IFERROR(IF($H$108="","－",IF(OR(HLOOKUP(EDATE($F$13,0),$G$875:$Q$883,6,FALSE)&lt;HLOOKUP($I$12,$G$875:$Q$883,6,FALSE),HLOOKUP(EDATE($F$13,0),$G$875:$Q$883,6,FALSE)="",HLOOKUP($I$12,$G$875:$Q$883,6,FALSE)=""),"非該当","該当")),"")</f>
        <v>－</v>
      </c>
      <c r="K1018" s="274" t="str">
        <f>IFERROR(IF($I$108="","－",IF(OR(HLOOKUP(EDATE($F$13,0),$G$893:$Q$901,6,FALSE)&lt;HLOOKUP($I$12,$G$893:$Q$901,6,FALSE),HLOOKUP(EDATE($F$13,0),$G$893:$Q$901,6,FALSE)="",HLOOKUP($I$12,$G$893:$Q$901,6,FALSE)=""),"非該当","該当")),"")</f>
        <v>－</v>
      </c>
      <c r="L1018" s="274" t="str">
        <f>IFERROR(IF($J$108="","－",IF(OR(HLOOKUP(EDATE($F$13,0),$G$911:$Q$919,6,FALSE)&lt;HLOOKUP($I$12,$G$911:$Q$919,6,FALSE),HLOOKUP(EDATE($F$13,0),$G$911:$Q$919,6,FALSE)="",HLOOKUP($I$12,$G$911:$Q$919,6,FALSE)=""),"非該当","該当")),"")</f>
        <v>－</v>
      </c>
      <c r="M1018" s="274" t="str">
        <f>IFERROR(IF($K$108="","－",IF(OR(HLOOKUP(EDATE($F$13,0),$G$929:$Q$937,6,FALSE)&lt;HLOOKUP($I$12,$G$929:$Q$937,6,FALSE),HLOOKUP(EDATE($F$13,0),$G$929:$Q$937,6,FALSE)="",HLOOKUP($I$12,$G$929:$Q$937,6,FALSE)=""),"非該当","該当")),"")</f>
        <v>－</v>
      </c>
      <c r="N1018" s="274" t="str">
        <f>IFERROR(IF($L$108="","－",IF(OR(HLOOKUP(EDATE($F$13,0),$G$947:$Q$955,6,FALSE)&lt;HLOOKUP($I$12,$G$947:$Q$955,6,FALSE),HLOOKUP(EDATE($F$13,0),$G$947:$Q$955,6,FALSE)="",HLOOKUP($I$12,$G$947:$Q$955,6,FALSE)=""),"非該当","該当")),"")</f>
        <v>－</v>
      </c>
    </row>
    <row r="1019" spans="4:17">
      <c r="D1019" s="277">
        <v>13</v>
      </c>
      <c r="E1019" s="331" t="s">
        <v>370</v>
      </c>
      <c r="F1019" s="278" t="s">
        <v>371</v>
      </c>
      <c r="G1019" s="276" t="str">
        <f>IF(COUNTIF(H1020:Q1028,"非該当"),"非該当",IF(COUNTIF(H1020:Q1028,"－")=COLUMNS(H1020:Q1020)+COLUMNS(H1022:Q1022)+COLUMNS(H1024:Q1024)+COLUMNS(H1026:Q1026)+COLUMNS(H1028:N1028),"－","該当"))</f>
        <v>非該当</v>
      </c>
      <c r="H1019" s="58" t="s">
        <v>372</v>
      </c>
      <c r="I1019" s="58">
        <v>2</v>
      </c>
      <c r="J1019" s="58">
        <v>3</v>
      </c>
      <c r="K1019" s="58">
        <v>4</v>
      </c>
      <c r="L1019" s="58">
        <v>5</v>
      </c>
      <c r="M1019" s="58">
        <v>6</v>
      </c>
      <c r="N1019" s="58">
        <v>7</v>
      </c>
      <c r="O1019" s="58">
        <v>8</v>
      </c>
      <c r="P1019" s="58">
        <v>9</v>
      </c>
      <c r="Q1019" s="58">
        <v>10</v>
      </c>
    </row>
    <row r="1020" spans="4:17">
      <c r="D1020" s="279"/>
      <c r="E1020" s="332"/>
      <c r="F1020" s="280"/>
      <c r="G1020" s="276"/>
      <c r="H1020" s="274" t="str">
        <f>IFERROR(IF($G$98="－","－",IF(OR(HLOOKUP(EDATE($F$13,0),$G$119:$Q$127,8,FALSE)&lt;HLOOKUP($I$12,$G$119:$Q$127,8,FALSE),HLOOKUP(EDATE($F$13,0),$G$119:$Q$127,8,FALSE)="",HLOOKUP($I$12,$G$119:$Q$127,8,FALSE)=""),"非該当","該当")),"非該当")</f>
        <v>非該当</v>
      </c>
      <c r="I1020" s="274" t="str">
        <f>IFERROR(IF($G$100="","－",IF(OR(HLOOKUP(EDATE($F$13,0),$G$137:$Q$145,8,FALSE)&lt;HLOOKUP($I$12,$G$137:$Q$145,8,FALSE),HLOOKUP(EDATE($F$13,0),$G$137:$Q$145,8,FALSE)="",HLOOKUP($I$12,$G$137:$Q$145,8,FALSE)=""),"非該当","該当")),"")</f>
        <v>－</v>
      </c>
      <c r="J1020" s="43" t="str">
        <f>IFERROR(IF($H$100="","－",IF(OR(HLOOKUP(EDATE($F$13,0),$G$155:$Q$163,8,FALSE)&lt;HLOOKUP($I$12,$G$155:$Q$163,8,FALSE),HLOOKUP(EDATE($F$13,0),$G$155:$Q$163,8,FALSE)="",HLOOKUP($I$12,$G$155:$Q$163,8,FALSE)=""),"非該当","該当")),"")</f>
        <v>－</v>
      </c>
      <c r="K1020" s="43" t="str">
        <f>IFERROR(IF($I$100="","－",IF(OR(HLOOKUP(EDATE($F$13,0),$G$173:$Q$181,8,FALSE)&lt;HLOOKUP($I$12,$G$173:$Q$181,8,FALSE),HLOOKUP(EDATE($F$13,0),$G$173:$Q$181,8,FALSE)="",HLOOKUP($I$12,$G$173:$Q$181,8,FALSE)=""),"非該当","該当")),"")</f>
        <v>－</v>
      </c>
      <c r="L1020" s="43" t="str">
        <f>IFERROR(IF($J$100="","－",IF(OR(HLOOKUP(EDATE($F$13,0),$G$191:$Q$199,8,FALSE)&lt;HLOOKUP($I$12,$G$191:$Q$199,8,FALSE),HLOOKUP(EDATE($F$13,0),$G$191:$Q$199,8,FALSE)="",HLOOKUP($I$12,$G$191:$Q$199,8,FALSE)=""),"非該当","該当")),"")</f>
        <v>－</v>
      </c>
      <c r="M1020" s="43" t="str">
        <f>IFERROR(IF($K$100="","－",IF(OR(HLOOKUP(EDATE($F$13,0),$G$209:$Q$217,8,FALSE)&lt;HLOOKUP($I$12,$G$209:$Q$217,8,FALSE),HLOOKUP(EDATE($F$13,0),$G$209:$Q$217,8,FALSE)="",HLOOKUP($I$12,$G$209:$Q$217,8,FALSE)=""),"非該当","該当")),"")</f>
        <v>－</v>
      </c>
      <c r="N1020" s="43" t="str">
        <f>IFERROR(IF($L$100="","－",IF(OR(HLOOKUP(EDATE($F$13,0),$G$227:$Q$235,8,FALSE)&lt;HLOOKUP($I$12,$G$227:$Q$235,8,FALSE),HLOOKUP(EDATE($F$13,0),$G$227:$Q$235,8,FALSE)="",HLOOKUP($I$12,$G$227:$Q$235,8,FALSE)=""),"非該当","該当")),"")</f>
        <v>－</v>
      </c>
      <c r="O1020" s="43" t="str">
        <f>IFERROR(IF($M$100="","－",IF(OR(HLOOKUP(EDATE($F$13,0),$G$245:$Q$253,8,FALSE)&lt;HLOOKUP($I$12,$G$245:$Q$253,8,FALSE),HLOOKUP(EDATE($F$13,0),$G$245:$Q$253,8,FALSE)="",HLOOKUP($I$12,$G$245:$Q$253,8,FALSE)=""),"非該当","該当")),"")</f>
        <v>－</v>
      </c>
      <c r="P1020" s="43" t="str">
        <f>IFERROR(IF($N$100="","－",IF(OR(HLOOKUP(EDATE($F$13,0),$G$263:$Q$271,8,FALSE)&lt;HLOOKUP($I$12,$G$263:$Q$271,8,FALSE),HLOOKUP(EDATE($F$13,0),$G$263:$Q$271,8,FALSE)="",HLOOKUP($I$12,$G$263:$Q$271,8,FALSE)=""),"非該当","該当")),"")</f>
        <v>－</v>
      </c>
      <c r="Q1020" s="43" t="str">
        <f>IFERROR(IF($O$100="","－",IF(OR(HLOOKUP(EDATE($F$13,0),$G$281:$Q$289,8,FALSE)&lt;HLOOKUP($I$12,$G$281:$Q$289,8,FALSE),HLOOKUP(EDATE($F$13,0),$G$281:$Q$289,8,FALSE)="",HLOOKUP($I$12,$G$281:$Q$289,8,FALSE)=""),"非該当","該当")),"")</f>
        <v>－</v>
      </c>
    </row>
    <row r="1021" spans="4:17">
      <c r="D1021" s="279"/>
      <c r="E1021" s="332"/>
      <c r="F1021" s="280"/>
      <c r="H1021" s="58">
        <v>11</v>
      </c>
      <c r="I1021" s="58">
        <v>12</v>
      </c>
      <c r="J1021" s="58">
        <v>13</v>
      </c>
      <c r="K1021" s="58">
        <v>14</v>
      </c>
      <c r="L1021" s="58">
        <v>15</v>
      </c>
      <c r="M1021" s="58">
        <v>16</v>
      </c>
      <c r="N1021" s="58">
        <v>17</v>
      </c>
      <c r="O1021" s="58">
        <v>18</v>
      </c>
      <c r="P1021" s="58">
        <v>19</v>
      </c>
      <c r="Q1021" s="58">
        <v>20</v>
      </c>
    </row>
    <row r="1022" spans="4:17">
      <c r="D1022" s="279"/>
      <c r="E1022" s="332"/>
      <c r="F1022" s="280"/>
      <c r="H1022" s="274" t="str">
        <f>IFERROR(IF($P$100="","－",IF(OR(HLOOKUP(EDATE($F$13,0),$G$299:$Q$307,8,FALSE)&lt;HLOOKUP($I$12,$G$299:$Q$307,8,FALSE),HLOOKUP(EDATE($F$13,0),$G$299:$Q$307,8,FALSE)="",HLOOKUP($I$12,$G$299:$Q$307,8,FALSE)=""),"非該当","該当")),"")</f>
        <v>－</v>
      </c>
      <c r="I1022" s="43" t="str">
        <f>IFERROR(IF($G$102="","－",IF(OR(HLOOKUP(EDATE($F$13,0),$G$317:$Q$325,8,FALSE)&lt;HLOOKUP($I$12,$G$317:$Q$325,8,FALSE),HLOOKUP(EDATE($F$13,0),$G$317:$Q$325,8,FALSE)="",HLOOKUP($I$12,$G$317:$Q$325,8,FALSE)=""),"非該当","該当")),"")</f>
        <v>－</v>
      </c>
      <c r="J1022" s="43" t="str">
        <f>IFERROR(IF($H$102="","－",IF(OR(HLOOKUP(EDATE($F$13,0),$G$335:$Q$343,8,FALSE)&lt;HLOOKUP($I$12,$G$335:$Q$343,8,FALSE),HLOOKUP(EDATE($F$13,0),$G$335:$Q$343,8,FALSE)="",HLOOKUP($I$12,$G$335:$Q$343,8,FALSE)=""),"非該当","該当")),"")</f>
        <v>－</v>
      </c>
      <c r="K1022" s="43" t="str">
        <f>IFERROR(IF($I$102="","－",IF(OR(HLOOKUP(EDATE($F$13,0),$G$353:$Q$361,8,FALSE)&lt;HLOOKUP($I$12,$G$353:$Q$361,8,FALSE),HLOOKUP(EDATE($F$13,0),$G$353:$Q$361,8,FALSE)="",HLOOKUP($I$12,$G$353:$Q$361,8,FALSE)=""),"非該当","該当")),"")</f>
        <v>－</v>
      </c>
      <c r="L1022" s="43" t="str">
        <f>IFERROR(IF($J$102="","－",IF(OR(HLOOKUP(EDATE($F$13,0),$G$371:$Q$379,8,FALSE)&lt;HLOOKUP($I$12,$G$371:$Q$379,8,FALSE),HLOOKUP(EDATE($F$13,0),$G$371:$Q$379,8,FALSE)="",HLOOKUP($I$12,$G$371:$Q$379,8,FALSE)=""),"非該当","該当")),"")</f>
        <v>－</v>
      </c>
      <c r="M1022" s="43" t="str">
        <f>IFERROR(IF($K$102="","－",IF(OR(HLOOKUP(EDATE($F$13,0),$G$389:$Q$397,8,FALSE)&lt;HLOOKUP($I$12,$G$389:$Q$397,8,FALSE),HLOOKUP(EDATE($F$13,0),$G$389:$Q$397,8,FALSE)="",HLOOKUP($I$12,$G$389:$Q$397,8,FALSE)=""),"非該当","該当")),"")</f>
        <v>－</v>
      </c>
      <c r="N1022" s="43" t="str">
        <f>IFERROR(IF($L$102="","－",IF(OR(HLOOKUP(EDATE($F$13,0),$G$407:$Q$415,8,FALSE)&lt;HLOOKUP($I$12,$G$407:$Q$415,8,FALSE),HLOOKUP(EDATE($F$13,0),$G$407:$Q$415,8,FALSE)="",HLOOKUP($I$12,$G$407:$Q$415,8,FALSE)=""),"非該当","該当")),"")</f>
        <v>－</v>
      </c>
      <c r="O1022" s="43" t="str">
        <f>IFERROR(IF($M$102="","－",IF(OR(HLOOKUP(EDATE($F$13,0),$G$425:$Q$433,8,FALSE)&lt;HLOOKUP($I$12,$G$425:$Q$433,8,FALSE),HLOOKUP(EDATE($F$13,0),$G$425:$Q$433,8,FALSE)="",HLOOKUP($I$12,$G$425:$Q$433,8,FALSE)=""),"非該当","該当")),"")</f>
        <v>－</v>
      </c>
      <c r="P1022" s="43" t="str">
        <f>IFERROR(IF($N$102="","－",IF(OR(HLOOKUP(EDATE($F$13,0),$G$443:$Q$451,8,FALSE)&lt;HLOOKUP($I$12,$G$443:$Q$451,8,FALSE),HLOOKUP(EDATE($F$13,0),$G$443:$Q$451,8,FALSE)="",HLOOKUP($I$12,$G$443:$Q$451,8,FALSE)=""),"非該当","該当")),"")</f>
        <v>－</v>
      </c>
      <c r="Q1022" s="43" t="str">
        <f>IFERROR(IF($O$102="","－",IF(OR(HLOOKUP(EDATE($F$13,0),$G$461:$Q$469,8,FALSE)&lt;HLOOKUP($I$12,$G$461:$Q$469,8,FALSE),HLOOKUP(EDATE($F$13,0),$G$461:$Q$469,8,FALSE)="",HLOOKUP($I$12,$G$461:$Q$469,8,FALSE)=""),"非該当","該当")),"")</f>
        <v>－</v>
      </c>
    </row>
    <row r="1023" spans="4:17">
      <c r="D1023" s="279"/>
      <c r="E1023" s="332"/>
      <c r="F1023" s="280"/>
      <c r="H1023" s="58">
        <v>21</v>
      </c>
      <c r="I1023" s="58">
        <v>22</v>
      </c>
      <c r="J1023" s="58">
        <v>23</v>
      </c>
      <c r="K1023" s="58">
        <v>24</v>
      </c>
      <c r="L1023" s="58">
        <v>25</v>
      </c>
      <c r="M1023" s="58">
        <v>26</v>
      </c>
      <c r="N1023" s="58">
        <v>27</v>
      </c>
      <c r="O1023" s="58">
        <v>28</v>
      </c>
      <c r="P1023" s="58">
        <v>29</v>
      </c>
      <c r="Q1023" s="58">
        <v>30</v>
      </c>
    </row>
    <row r="1024" spans="4:17">
      <c r="D1024" s="279"/>
      <c r="E1024" s="332"/>
      <c r="F1024" s="280"/>
      <c r="H1024" s="274" t="str">
        <f>IFERROR(IF($P$102="","－",IF(OR(HLOOKUP(EDATE($F$13,0),$G$479:$Q$487,8,FALSE)&lt;HLOOKUP($I$12,$G$479:$Q$487,8,FALSE),HLOOKUP(EDATE($F$13,0),$G$479:$Q$487,8,FALSE)="",HLOOKUP($I$12,$G$479:$Q$487,8,FALSE)=""),"非該当","該当")),"")</f>
        <v>－</v>
      </c>
      <c r="I1024" s="43" t="str">
        <f>IFERROR(IF($G$104="","－",IF(OR(HLOOKUP(EDATE($F$13,0),$G$497:$Q$505,8,FALSE)&lt;HLOOKUP($I$12,$G$497:$Q$505,8,FALSE),HLOOKUP(EDATE($F$13,0),$G$497:$Q$505,8,FALSE)="",HLOOKUP($I$12,$G$497:$Q$505,8,FALSE)=""),"非該当","該当")),"")</f>
        <v>－</v>
      </c>
      <c r="J1024" s="43" t="str">
        <f>IFERROR(IF($H$104="","－",IF(OR(HLOOKUP(EDATE($F$13,0),$G$515:$Q$523,8,FALSE)&lt;HLOOKUP($I$12,$G$515:$Q$523,8,FALSE),HLOOKUP(EDATE($F$13,0),$G$515:$Q$523,8,FALSE)="",HLOOKUP($I$12,$G$515:$Q$523,8,FALSE)=""),"非該当","該当")),"")</f>
        <v>－</v>
      </c>
      <c r="K1024" s="43" t="str">
        <f>IFERROR(IF($I$104="","－",IF(OR(HLOOKUP(EDATE($F$13,0),$G$533:$Q$541,8,FALSE)&lt;HLOOKUP($I$12,$G$533:$Q$541,8,FALSE),HLOOKUP(EDATE($F$13,0),$G$533:$Q$541,8,FALSE)="",HLOOKUP($I$12,$G$533:$Q$541,8,FALSE)=""),"非該当","該当")),"")</f>
        <v>－</v>
      </c>
      <c r="L1024" s="43" t="str">
        <f>IFERROR(IF($J$104="","－",IF(OR(HLOOKUP(EDATE($F$13,0),$G$551:$Q$559,8,FALSE)&lt;HLOOKUP($I$12,$G$551:$Q$559,8,FALSE),HLOOKUP(EDATE($F$13,0),$G$551:$Q$559,8,FALSE)="",HLOOKUP($I$12,$G$551:$Q$559,8,FALSE)=""),"非該当","該当")),"")</f>
        <v>－</v>
      </c>
      <c r="M1024" s="43" t="str">
        <f>IFERROR(IF($K$104="","－",IF(OR(HLOOKUP(EDATE($F$13,0),$G$569:$Q$577,8,FALSE)&lt;HLOOKUP($I$12,$G$569:$Q$577,8,FALSE),HLOOKUP(EDATE($F$13,0),$G$569:$Q$577,8,FALSE)="",HLOOKUP($I$12,$G$569:$Q$577,8,FALSE)=""),"非該当","該当")),"")</f>
        <v>－</v>
      </c>
      <c r="N1024" s="43" t="str">
        <f>IFERROR(IF($L$104="","－",IF(OR(HLOOKUP(EDATE($F$13,0),$G$587:$Q$595,8,FALSE)&lt;HLOOKUP($I$12,$G$587:$Q$595,8,FALSE),HLOOKUP(EDATE($F$13,0),$G$587:$Q$595,8,FALSE)="",HLOOKUP($I$12,$G$587:$Q$595,8,FALSE)=""),"非該当","該当")),"")</f>
        <v>－</v>
      </c>
      <c r="O1024" s="43" t="str">
        <f>IFERROR(IF($M$104="","－",IF(OR(HLOOKUP(EDATE($F$13,0),$G$605:$Q$613,8,FALSE)&lt;HLOOKUP($I$12,$G$605:$Q$613,8,FALSE),HLOOKUP(EDATE($F$13,0),$G$605:$Q$613,8,FALSE)="",HLOOKUP($I$12,$G$605:$Q$613,8,FALSE)=""),"非該当","該当")),"")</f>
        <v>－</v>
      </c>
      <c r="P1024" s="43" t="str">
        <f>IFERROR(IF($N$104="","－",IF(OR(HLOOKUP(EDATE($F$13,0),$G$623:$Q$631,8,FALSE)&lt;HLOOKUP($I$12,$G$623:$Q$631,8,FALSE),HLOOKUP(EDATE($F$13,0),$G$623:$Q$631,8,FALSE)="",HLOOKUP($I$12,$G$623:$Q$631,8,FALSE)=""),"非該当","該当")),"")</f>
        <v>－</v>
      </c>
      <c r="Q1024" s="43" t="str">
        <f>IFERROR(IF($O$104="","－",IF(OR(HLOOKUP(EDATE($F$13,0),$G$641:$Q$649,8,FALSE)&lt;HLOOKUP($I$12,$G$641:$Q$649,8,FALSE),HLOOKUP(EDATE($F$13,0),$G$641:$Q$649,8,FALSE)="",HLOOKUP($I$12,$G$641:$Q$649,8,FALSE)=""),"非該当","該当")),"")</f>
        <v>－</v>
      </c>
    </row>
    <row r="1025" spans="2:17">
      <c r="D1025" s="279"/>
      <c r="E1025" s="332"/>
      <c r="F1025" s="280"/>
      <c r="H1025" s="58">
        <v>31</v>
      </c>
      <c r="I1025" s="58">
        <v>32</v>
      </c>
      <c r="J1025" s="58">
        <v>33</v>
      </c>
      <c r="K1025" s="58">
        <v>34</v>
      </c>
      <c r="L1025" s="58">
        <v>35</v>
      </c>
      <c r="M1025" s="58">
        <v>36</v>
      </c>
      <c r="N1025" s="58">
        <v>37</v>
      </c>
      <c r="O1025" s="58">
        <v>38</v>
      </c>
      <c r="P1025" s="58">
        <v>39</v>
      </c>
      <c r="Q1025" s="58">
        <v>40</v>
      </c>
    </row>
    <row r="1026" spans="2:17">
      <c r="D1026" s="279"/>
      <c r="E1026" s="332"/>
      <c r="F1026" s="280"/>
      <c r="H1026" s="274" t="str">
        <f>IFERROR(IF($P$104="","－",IF(OR(HLOOKUP(EDATE($F$13,0),$G$659:$Q$667,8,FALSE)&lt;HLOOKUP($I$12,$G$659:$Q$667,8,FALSE),HLOOKUP(EDATE($F$13,0),$G$659:$Q$667,8,FALSE)="",HLOOKUP($I$12,$G$659:$Q$667,8,FALSE)=""),"非該当","該当")),"")</f>
        <v>－</v>
      </c>
      <c r="I1026" s="43" t="str">
        <f>IFERROR(IF($G$106="","－",IF(OR(HLOOKUP(EDATE($F$13,0),$G$677:$Q$685,8,FALSE)&lt;HLOOKUP($I$12,$G$677:$Q$685,8,FALSE),HLOOKUP(EDATE($F$13,0),$G$677:$Q$685,8,FALSE)="",HLOOKUP($I$12,$G$677:$Q$685,8,FALSE)=""),"非該当","該当")),"")</f>
        <v>－</v>
      </c>
      <c r="J1026" s="43" t="str">
        <f>IFERROR(IF($H$106="","－",IF(OR(HLOOKUP(EDATE($F$13,0),$G$695:$Q$703,8,FALSE)&lt;HLOOKUP($I$12,$G$695:$Q$703,8,FALSE),HLOOKUP(EDATE($F$13,0),$G$695:$Q$703,8,FALSE)="",HLOOKUP($I$12,$G$695:$Q$703,8,FALSE)=""),"非該当","該当")),"")</f>
        <v>－</v>
      </c>
      <c r="K1026" s="43" t="str">
        <f>IFERROR(IF($I$106="","－",IF(OR(HLOOKUP(EDATE($F$13,0),$G$713:$Q$721,8,FALSE)&lt;HLOOKUP($I$12,$G$713:$Q$721,8,FALSE),HLOOKUP(EDATE($F$13,0),$G$713:$Q$721,8,FALSE)="",HLOOKUP($I$12,$G$713:$Q$721,8,FALSE)=""),"非該当","該当")),"")</f>
        <v>－</v>
      </c>
      <c r="L1026" s="43" t="str">
        <f>IFERROR(IF($J$106="","－",IF(OR(HLOOKUP(EDATE($F$13,0),$G$731:$Q$739,8,FALSE)&lt;HLOOKUP($I$12,$G$731:$Q$739,8,FALSE),HLOOKUP(EDATE($F$13,0),$G$731:$Q$739,8,FALSE)="",HLOOKUP($I$12,$G$731:$Q$739,8,FALSE)=""),"非該当","該当")),"")</f>
        <v>－</v>
      </c>
      <c r="M1026" s="43" t="str">
        <f>IFERROR(IF($K$106="","－",IF(OR(HLOOKUP(EDATE($F$13,0),$G$749:$Q$757,8,FALSE)&lt;HLOOKUP($I$12,$G$749:$Q$757,8,FALSE),HLOOKUP(EDATE($F$13,0),$G$749:$Q$757,8,FALSE)="",HLOOKUP($I$12,$G$749:$Q$757,8,FALSE)=""),"非該当","該当")),"")</f>
        <v>－</v>
      </c>
      <c r="N1026" s="43" t="str">
        <f>IFERROR(IF($L$106="","－",IF(OR(HLOOKUP(EDATE($F$13,0),$G$767:$Q$775,8,FALSE)&lt;HLOOKUP($I$12,$G$767:$Q$775,8,FALSE),HLOOKUP(EDATE($F$13,0),$G$767:$Q$775,8,FALSE)="",HLOOKUP($I$12,$G$767:$Q$775,8,FALSE)=""),"非該当","該当")),"")</f>
        <v>－</v>
      </c>
      <c r="O1026" s="43" t="str">
        <f>IFERROR(IF($M$106="","－",IF(OR(HLOOKUP(EDATE($F$13,0),$G$785:$Q$793,8,FALSE)&lt;HLOOKUP($I$12,$G$785:$Q$793,8,FALSE),HLOOKUP(EDATE($F$13,0),$G$785:$Q$793,8,FALSE)="",HLOOKUP($I$12,$G$785:$Q$793,8,FALSE)=""),"非該当","該当")),"")</f>
        <v>－</v>
      </c>
      <c r="P1026" s="43" t="str">
        <f>IFERROR(IF($N$106="","－",IF(OR(HLOOKUP(EDATE($F$13,0),$G$803:$Q$811,8,FALSE)&lt;HLOOKUP($I$12,$G$803:$Q$811,8,FALSE),HLOOKUP(EDATE($F$13,0),$G$803:$Q$811,8,FALSE)="",HLOOKUP($I$12,$G$803:$Q$811,8,FALSE)=""),"非該当","該当")),"")</f>
        <v>－</v>
      </c>
      <c r="Q1026" s="43" t="str">
        <f>IFERROR(IF($O$106="","－",IF(OR(HLOOKUP(EDATE($F$13,0),$G$821:$Q$829,8,FALSE)&lt;HLOOKUP($I$12,$G$821:$Q$829,8,FALSE),HLOOKUP(EDATE($F$13,0),$G$821:$Q$829,8,FALSE)="",HLOOKUP($I$12,$G$821:$Q$829,8,FALSE)=""),"非該当","該当")),"")</f>
        <v>－</v>
      </c>
    </row>
    <row r="1027" spans="2:17">
      <c r="D1027" s="279"/>
      <c r="E1027" s="332"/>
      <c r="F1027" s="280"/>
      <c r="H1027" s="58">
        <v>41</v>
      </c>
      <c r="I1027" s="58">
        <v>42</v>
      </c>
      <c r="J1027" s="58">
        <v>43</v>
      </c>
      <c r="K1027" s="58">
        <v>44</v>
      </c>
      <c r="L1027" s="58">
        <v>45</v>
      </c>
      <c r="M1027" s="58">
        <v>46</v>
      </c>
      <c r="N1027" s="58">
        <v>47</v>
      </c>
    </row>
    <row r="1028" spans="2:17">
      <c r="D1028" s="281"/>
      <c r="E1028" s="333"/>
      <c r="F1028" s="282"/>
      <c r="G1028" s="283"/>
      <c r="H1028" s="274" t="str">
        <f>IFERROR(IF($P$106="","－",IF(OR(HLOOKUP(EDATE($F$13,0),$G$839:$Q$847,8,FALSE)&lt;HLOOKUP($I$12,$G$839:$Q$847,8,FALSE),HLOOKUP(EDATE($F$13,0),$G$839:$Q$847,8,FALSE)="",HLOOKUP($I$12,$G$839:$Q$847,8,FALSE)=""),"非該当","該当")),"")</f>
        <v>－</v>
      </c>
      <c r="I1028" s="43" t="str">
        <f>IFERROR(IF($G$108="","－",IF(OR(HLOOKUP(EDATE($F$13,0),$G$857:$Q$865,8,FALSE)&lt;HLOOKUP($I$12,$G$857:$Q$865,8,FALSE),HLOOKUP(EDATE($F$13,0),$G$857:$Q$865,8,FALSE)="",HLOOKUP($I$12,$G$857:$Q$865,8,FALSE)=""),"非該当","該当")),"")</f>
        <v>－</v>
      </c>
      <c r="J1028" s="43" t="str">
        <f>IFERROR(IF($H$108="","－",IF(OR(HLOOKUP(EDATE($F$13,0),$G$875:$Q$883,8,FALSE)&lt;HLOOKUP($I$12,$G$875:$Q$883,8,FALSE),HLOOKUP(EDATE($F$13,0),$G$875:$Q$883,8,FALSE)="",HLOOKUP($I$12,$G$875:$Q$883,8,FALSE)=""),"非該当","該当")),"")</f>
        <v>－</v>
      </c>
      <c r="K1028" s="43" t="str">
        <f>IFERROR(IF($I$108="","－",IF(OR(HLOOKUP(EDATE($F$13,0),$G$893:$Q$901,8,FALSE)&lt;HLOOKUP($I$12,$G$893:$Q$901,8,FALSE),HLOOKUP(EDATE($F$13,0),$G$893:$Q$901,8,FALSE)="",HLOOKUP($I$12,$G$893:$Q$901,8,FALSE)=""),"非該当","該当")),"")</f>
        <v>－</v>
      </c>
      <c r="L1028" s="43" t="str">
        <f>IFERROR(IF($J$108="","－",IF(OR(HLOOKUP(EDATE($F$13,0),$G$911:$Q$919,8,FALSE)&lt;HLOOKUP($I$12,$G$911:$Q$919,8,FALSE),HLOOKUP(EDATE($F$13,0),$G$911:$Q$919,8,FALSE)="",HLOOKUP($I$12,$G$911:$Q$919,8,FALSE)=""),"非該当","該当")),"")</f>
        <v>－</v>
      </c>
      <c r="M1028" s="43" t="str">
        <f>IFERROR(IF($K$108="","－",IF(OR(HLOOKUP(EDATE($F$13,0),$G$929:$Q$937,8,FALSE)&lt;HLOOKUP($I$12,$G$929:$Q$937,8,FALSE),HLOOKUP(EDATE($F$13,0),$G$929:$Q$937,8,FALSE)="",HLOOKUP($I$12,$G$929:$Q$937,8,FALSE)=""),"非該当","該当")),"")</f>
        <v>－</v>
      </c>
      <c r="N1028" s="43" t="str">
        <f>IFERROR(IF($L$108="","－",IF(OR(HLOOKUP(EDATE($F$13,0),$G$947:$Q$955,8,FALSE)&lt;HLOOKUP($I$12,$G$947:$Q$955,8,FALSE),HLOOKUP(EDATE($F$13,0),$G$947:$Q$955,8,FALSE)="",HLOOKUP($I$12,$G$947:$Q$955,8,FALSE)=""),"非該当","該当")),"")</f>
        <v>－</v>
      </c>
    </row>
    <row r="1030" spans="2:17" ht="20">
      <c r="B1030" s="18" t="s">
        <v>125</v>
      </c>
    </row>
    <row r="1031" spans="2:17">
      <c r="B1031" s="8"/>
      <c r="C1031" s="182" t="s">
        <v>126</v>
      </c>
    </row>
    <row r="1032" spans="2:17">
      <c r="B1032" s="8"/>
      <c r="C1032" s="67"/>
      <c r="D1032" s="183" t="s">
        <v>373</v>
      </c>
      <c r="E1032" s="334" t="s">
        <v>128</v>
      </c>
      <c r="F1032" s="184" t="s">
        <v>129</v>
      </c>
      <c r="G1032" s="185" t="s">
        <v>130</v>
      </c>
      <c r="H1032" s="186"/>
      <c r="I1032" s="186"/>
      <c r="J1032" s="186"/>
      <c r="K1032" s="186"/>
      <c r="L1032" s="186"/>
      <c r="M1032" s="186"/>
      <c r="N1032" s="186"/>
      <c r="O1032" s="186"/>
      <c r="P1032" s="186"/>
      <c r="Q1032" s="219"/>
    </row>
    <row r="1033" spans="2:17">
      <c r="D1033" s="192">
        <v>1</v>
      </c>
      <c r="E1033" s="37" t="s">
        <v>374</v>
      </c>
      <c r="F1033" s="157" t="str">
        <f>IFERROR(IF($E$9="","(3)最新決算期末日：入力してください",IF(ISERROR(VALUE($E$9)),"(3)最新決算期末日：正しい日付を入力してください"," ")),$G$1032)</f>
        <v>(3)最新決算期末日：入力してください</v>
      </c>
      <c r="G1033" s="187"/>
      <c r="H1033" s="187"/>
      <c r="I1033" s="187"/>
      <c r="J1033" s="187"/>
      <c r="K1033" s="187"/>
      <c r="L1033" s="187"/>
      <c r="M1033" s="187"/>
      <c r="N1033" s="187"/>
      <c r="O1033" s="187"/>
      <c r="P1033" s="187"/>
      <c r="Q1033" s="218"/>
    </row>
    <row r="1034" spans="2:17">
      <c r="D1034" s="181">
        <v>2</v>
      </c>
      <c r="E1034" s="37" t="s">
        <v>375</v>
      </c>
      <c r="F1034" s="157" t="str">
        <f>IFERROR(IF($E$10="","(4)補助事業完了日：入力してください",IF(OR(ISERROR(VALUE($E$10)),$E$10&gt;DATEVALUE("2027/12/31"),$E$10&lt;DATEVALUE("2024/6/26")),"(4)補助事業完了日：2027年12月末までの未来日付を入力してください",IF($E$9&gt;$E$10,"(4)補助事業完了日：最新決算期末日より未来の日付を入力してください"," "))),$G$1032)</f>
        <v>(4)補助事業完了日：入力してください</v>
      </c>
      <c r="G1034" s="187"/>
      <c r="H1034" s="187"/>
      <c r="I1034" s="187"/>
      <c r="J1034" s="187"/>
      <c r="K1034" s="187"/>
      <c r="L1034" s="187"/>
      <c r="M1034" s="187"/>
      <c r="N1034" s="187"/>
      <c r="O1034" s="187"/>
      <c r="P1034" s="187"/>
      <c r="Q1034" s="218"/>
    </row>
    <row r="1035" spans="2:17" ht="54">
      <c r="D1035" s="181">
        <v>3</v>
      </c>
      <c r="E1035" s="284" t="s">
        <v>376</v>
      </c>
      <c r="F1035" s="157" t="str">
        <f>IFERROR(IF($E$12="","(5)補助事業完了日を含む事業年度：入力してください",IF(COUNTIF($G$12:$Q$12,$E$12)=0,"(5)補助事業完了日を含む事業年度：正しい年度を選択してください",IF(YEAR($E$10)*12+MONTH($E$10)&gt;YEAR($E$12)*12+MONTH($E$12),"(5)補助事業完了日を含む事業年度：(4)補助事業完了日より過去日が選択されています",IF($E$12-$E$10&gt;366,"(5)補助事業完了日を含む事業年度：(4)補助事業完了日より1年以上先の年度日付が選択されています"," ")))),$G$1032)</f>
        <v>(5)補助事業完了日を含む事業年度：入力してください</v>
      </c>
      <c r="G1035" s="187"/>
      <c r="H1035" s="187"/>
      <c r="I1035" s="187"/>
      <c r="J1035" s="187"/>
      <c r="K1035" s="187"/>
      <c r="L1035" s="187"/>
      <c r="M1035" s="187"/>
      <c r="N1035" s="187"/>
      <c r="O1035" s="187"/>
      <c r="P1035" s="187"/>
      <c r="Q1035" s="218"/>
    </row>
    <row r="1036" spans="2:17" ht="36">
      <c r="D1036" s="181">
        <v>4</v>
      </c>
      <c r="E1036" s="37" t="s">
        <v>377</v>
      </c>
      <c r="F1036" s="157" t="str">
        <f ca="1">IFERROR(IF($F$13&lt;&gt;"",IF(COUNTBLANK($G40:INDIRECT("R35C" &amp; (6+MATCH(EDATE($F$13,36),$G$12:$Q$12,0)), FALSE))&gt;0,"2-8_常時使用する従業員数（就業時間換算）：事業化報告3年目まで「入力項目」欄を全て入力してください（情報がない場合は0を入力してください）",IF(COUNT($G40:INDIRECT("R35C" &amp; (MATCH(EDATE($F$13,36),$G$12:$Q$12,0)+6), FALSE))&lt;&gt;COUNTA($G40:INDIRECT("R35C" &amp; (MATCH(EDATE($F$13,36),$G$12:$Q$12,0)+6), FALSE)),"2-8_常時使用する従業員数（就業時間換算）：半角数字で入力してください"," "))," "),$G$1032)</f>
        <v xml:space="preserve"> </v>
      </c>
      <c r="G1036" s="187"/>
      <c r="H1036" s="187"/>
      <c r="I1036" s="187"/>
      <c r="J1036" s="187"/>
      <c r="K1036" s="187"/>
      <c r="L1036" s="187"/>
      <c r="M1036" s="187"/>
      <c r="N1036" s="187"/>
      <c r="O1036" s="187"/>
      <c r="P1036" s="187"/>
      <c r="Q1036" s="218"/>
    </row>
    <row r="1037" spans="2:17" ht="36">
      <c r="D1037" s="181">
        <v>5</v>
      </c>
      <c r="E1037" s="37" t="s">
        <v>378</v>
      </c>
      <c r="F1037" s="157" t="str">
        <f ca="1">IFERROR(IF($F$13&lt;&gt;"",IF(COUNTBLANK($G41:INDIRECT("R36C" &amp; (6+MATCH(EDATE($F$13,36),$G$12:$Q$12,0)), FALSE))&gt;0,"2-9_役員数：事業化報告3年目まで「入力項目」欄を全て入力してください（情報がない場合は0を入力してください）",IF(COUNT($G41:INDIRECT("R36C" &amp; (MATCH(EDATE($F$13,36),$G$12:$Q$12,0)+6), FALSE))&lt;&gt;COUNTA($G41:INDIRECT("R36C" &amp; (MATCH(EDATE($F$13,36),$G$12:$Q$12,0)+6), FALSE)),"2-9_役員数：半角数字で入力してください"," "))," "),$G$1032)</f>
        <v xml:space="preserve"> </v>
      </c>
      <c r="G1037" s="187"/>
      <c r="H1037" s="187"/>
      <c r="I1037" s="187"/>
      <c r="J1037" s="187"/>
      <c r="K1037" s="187"/>
      <c r="L1037" s="187"/>
      <c r="M1037" s="187"/>
      <c r="N1037" s="187"/>
      <c r="O1037" s="187"/>
      <c r="P1037" s="187"/>
      <c r="Q1037" s="218"/>
    </row>
    <row r="1038" spans="2:17">
      <c r="D1038" s="39">
        <v>6</v>
      </c>
      <c r="E1038" s="188" t="s">
        <v>379</v>
      </c>
      <c r="F1038" s="189" t="str">
        <f>IFERROR(IF(COUNTIF($G$1038:$P$1043,"&lt;&gt;"&amp;" "),"都道府県が重複しています"," "),$G$1032)</f>
        <v xml:space="preserve"> </v>
      </c>
      <c r="G1038" s="191" t="str">
        <f>IFERROR(IF(COUNTIF($G$98:$P$108,$G$98)&gt;1,$G$98," "),"エラー")</f>
        <v xml:space="preserve"> </v>
      </c>
      <c r="H1038" s="187" t="s">
        <v>151</v>
      </c>
      <c r="I1038" s="187" t="s">
        <v>151</v>
      </c>
      <c r="J1038" s="187" t="s">
        <v>151</v>
      </c>
      <c r="K1038" s="187" t="s">
        <v>151</v>
      </c>
      <c r="L1038" s="187" t="s">
        <v>151</v>
      </c>
      <c r="M1038" s="187" t="s">
        <v>151</v>
      </c>
      <c r="N1038" s="187" t="s">
        <v>151</v>
      </c>
      <c r="O1038" s="187" t="s">
        <v>151</v>
      </c>
      <c r="P1038" s="187" t="s">
        <v>151</v>
      </c>
      <c r="Q1038" s="218"/>
    </row>
    <row r="1039" spans="2:17">
      <c r="D1039" s="271"/>
      <c r="E1039" s="272"/>
      <c r="F1039" s="204" t="s">
        <v>151</v>
      </c>
      <c r="G1039" s="191" t="str">
        <f>IFERROR(IF(COUNTIF($G$98:$P$108,G$100)&gt;1,G$100," "),"エラー")</f>
        <v xml:space="preserve"> </v>
      </c>
      <c r="H1039" s="191" t="str">
        <f t="shared" ref="H1039:P1039" si="254">IFERROR(IF(COUNTIF($G$98:$P$108,H$100)&gt;1,H$100," "),"エラー")</f>
        <v xml:space="preserve"> </v>
      </c>
      <c r="I1039" s="191" t="str">
        <f t="shared" si="254"/>
        <v xml:space="preserve"> </v>
      </c>
      <c r="J1039" s="191" t="str">
        <f t="shared" si="254"/>
        <v xml:space="preserve"> </v>
      </c>
      <c r="K1039" s="191" t="str">
        <f t="shared" si="254"/>
        <v xml:space="preserve"> </v>
      </c>
      <c r="L1039" s="191" t="str">
        <f t="shared" si="254"/>
        <v xml:space="preserve"> </v>
      </c>
      <c r="M1039" s="191" t="str">
        <f t="shared" si="254"/>
        <v xml:space="preserve"> </v>
      </c>
      <c r="N1039" s="191" t="str">
        <f t="shared" si="254"/>
        <v xml:space="preserve"> </v>
      </c>
      <c r="O1039" s="191" t="str">
        <f t="shared" si="254"/>
        <v xml:space="preserve"> </v>
      </c>
      <c r="P1039" s="191" t="str">
        <f t="shared" si="254"/>
        <v xml:space="preserve"> </v>
      </c>
      <c r="Q1039" s="285"/>
    </row>
    <row r="1040" spans="2:17">
      <c r="D1040" s="271"/>
      <c r="E1040" s="272"/>
      <c r="F1040" s="220" t="s">
        <v>151</v>
      </c>
      <c r="G1040" s="191" t="str">
        <f>IFERROR(IF(COUNTIF($G$98:$P$108,G$102)&gt;1,G$102," "),"エラー")</f>
        <v xml:space="preserve"> </v>
      </c>
      <c r="H1040" s="191" t="str">
        <f t="shared" ref="H1040:P1040" si="255">IFERROR(IF(COUNTIF($G$98:$P$108,H$102)&gt;1,H$102," "),"エラー")</f>
        <v xml:space="preserve"> </v>
      </c>
      <c r="I1040" s="191" t="str">
        <f t="shared" si="255"/>
        <v xml:space="preserve"> </v>
      </c>
      <c r="J1040" s="191" t="str">
        <f t="shared" si="255"/>
        <v xml:space="preserve"> </v>
      </c>
      <c r="K1040" s="191" t="str">
        <f t="shared" si="255"/>
        <v xml:space="preserve"> </v>
      </c>
      <c r="L1040" s="191" t="str">
        <f t="shared" si="255"/>
        <v xml:space="preserve"> </v>
      </c>
      <c r="M1040" s="191" t="str">
        <f t="shared" si="255"/>
        <v xml:space="preserve"> </v>
      </c>
      <c r="N1040" s="191" t="str">
        <f t="shared" si="255"/>
        <v xml:space="preserve"> </v>
      </c>
      <c r="O1040" s="191" t="str">
        <f t="shared" si="255"/>
        <v xml:space="preserve"> </v>
      </c>
      <c r="P1040" s="191" t="str">
        <f t="shared" si="255"/>
        <v xml:space="preserve"> </v>
      </c>
      <c r="Q1040" s="286"/>
    </row>
    <row r="1041" spans="3:17">
      <c r="D1041" s="271"/>
      <c r="E1041" s="272"/>
      <c r="F1041" s="220" t="s">
        <v>151</v>
      </c>
      <c r="G1041" s="191" t="str">
        <f>IFERROR(IF(COUNTIF($G$98:$P$108,G$104)&gt;1,G$104," "),"エラー")</f>
        <v xml:space="preserve"> </v>
      </c>
      <c r="H1041" s="191" t="str">
        <f t="shared" ref="H1041:P1041" si="256">IFERROR(IF(COUNTIF($G$98:$P$108,H$104)&gt;1,H$104," "),"エラー")</f>
        <v xml:space="preserve"> </v>
      </c>
      <c r="I1041" s="191" t="str">
        <f t="shared" si="256"/>
        <v xml:space="preserve"> </v>
      </c>
      <c r="J1041" s="191" t="str">
        <f t="shared" si="256"/>
        <v xml:space="preserve"> </v>
      </c>
      <c r="K1041" s="191" t="str">
        <f t="shared" si="256"/>
        <v xml:space="preserve"> </v>
      </c>
      <c r="L1041" s="191" t="str">
        <f t="shared" si="256"/>
        <v xml:space="preserve"> </v>
      </c>
      <c r="M1041" s="191" t="str">
        <f t="shared" si="256"/>
        <v xml:space="preserve"> </v>
      </c>
      <c r="N1041" s="191" t="str">
        <f t="shared" si="256"/>
        <v xml:space="preserve"> </v>
      </c>
      <c r="O1041" s="191" t="str">
        <f t="shared" si="256"/>
        <v xml:space="preserve"> </v>
      </c>
      <c r="P1041" s="191" t="str">
        <f t="shared" si="256"/>
        <v xml:space="preserve"> </v>
      </c>
      <c r="Q1041" s="286"/>
    </row>
    <row r="1042" spans="3:17">
      <c r="D1042" s="271"/>
      <c r="E1042" s="272"/>
      <c r="F1042" s="220" t="s">
        <v>151</v>
      </c>
      <c r="G1042" s="191" t="str">
        <f>IFERROR(IF(COUNTIF($G$98:$P$108,G$106)&gt;1,G$106," "),"エラー")</f>
        <v xml:space="preserve"> </v>
      </c>
      <c r="H1042" s="191" t="str">
        <f t="shared" ref="H1042:P1042" si="257">IFERROR(IF(COUNTIF($G$98:$P$108,H$106)&gt;1,H$106," "),"エラー")</f>
        <v xml:space="preserve"> </v>
      </c>
      <c r="I1042" s="191" t="str">
        <f t="shared" si="257"/>
        <v xml:space="preserve"> </v>
      </c>
      <c r="J1042" s="191" t="str">
        <f t="shared" si="257"/>
        <v xml:space="preserve"> </v>
      </c>
      <c r="K1042" s="191" t="str">
        <f t="shared" si="257"/>
        <v xml:space="preserve"> </v>
      </c>
      <c r="L1042" s="191" t="str">
        <f t="shared" si="257"/>
        <v xml:space="preserve"> </v>
      </c>
      <c r="M1042" s="191" t="str">
        <f t="shared" si="257"/>
        <v xml:space="preserve"> </v>
      </c>
      <c r="N1042" s="191" t="str">
        <f t="shared" si="257"/>
        <v xml:space="preserve"> </v>
      </c>
      <c r="O1042" s="191" t="str">
        <f t="shared" si="257"/>
        <v xml:space="preserve"> </v>
      </c>
      <c r="P1042" s="191" t="str">
        <f t="shared" si="257"/>
        <v xml:space="preserve"> </v>
      </c>
      <c r="Q1042" s="286"/>
    </row>
    <row r="1043" spans="3:17">
      <c r="D1043" s="287"/>
      <c r="E1043" s="190"/>
      <c r="F1043" s="194" t="s">
        <v>151</v>
      </c>
      <c r="G1043" s="191" t="str">
        <f t="shared" ref="G1043:L1043" si="258">IFERROR(IF(COUNTIF($G$98:$P$108,G$108)&gt;1,G$108," "),"エラー")</f>
        <v xml:space="preserve"> </v>
      </c>
      <c r="H1043" s="191" t="str">
        <f t="shared" si="258"/>
        <v xml:space="preserve"> </v>
      </c>
      <c r="I1043" s="191" t="str">
        <f t="shared" si="258"/>
        <v xml:space="preserve"> </v>
      </c>
      <c r="J1043" s="191" t="str">
        <f t="shared" si="258"/>
        <v xml:space="preserve"> </v>
      </c>
      <c r="K1043" s="191" t="str">
        <f t="shared" si="258"/>
        <v xml:space="preserve"> </v>
      </c>
      <c r="L1043" s="191" t="str">
        <f t="shared" si="258"/>
        <v xml:space="preserve"> </v>
      </c>
      <c r="M1043" s="288" t="s">
        <v>151</v>
      </c>
      <c r="N1043" s="289" t="s">
        <v>151</v>
      </c>
      <c r="O1043" s="289" t="s">
        <v>151</v>
      </c>
      <c r="P1043" s="289" t="s">
        <v>151</v>
      </c>
      <c r="Q1043" s="286"/>
    </row>
    <row r="1044" spans="3:17">
      <c r="D1044" s="192">
        <v>7</v>
      </c>
      <c r="E1044" s="181" t="s">
        <v>380</v>
      </c>
      <c r="F1044" s="157" t="str">
        <f>IFERROR(IF(#REF!=0,"③経費明細書シート &gt;（C）補助金交付申請額を入力してください",IF(#REF!&gt;5000000000,"③経費明細書シート &gt;（C）補助金交付申請額の合計は50億円以内で入力してください"," ")),$G$1032)</f>
        <v>#Err：正しい形式で入力されているか確認してください</v>
      </c>
      <c r="G1044" s="187"/>
      <c r="H1044" s="187"/>
      <c r="I1044" s="187"/>
      <c r="J1044" s="187"/>
      <c r="K1044" s="187"/>
      <c r="L1044" s="187"/>
      <c r="M1044" s="187"/>
      <c r="N1044" s="187"/>
      <c r="O1044" s="187"/>
      <c r="P1044" s="187"/>
      <c r="Q1044" s="218"/>
    </row>
    <row r="1045" spans="3:17">
      <c r="D1045" s="192">
        <v>8</v>
      </c>
      <c r="E1045" s="181" t="s">
        <v>381</v>
      </c>
      <c r="F1045" s="157" t="str">
        <f>IFERROR(IF(AND(#REF!&gt;0,#REF!&gt;(#REF!/3)),"③経費明細書シート &gt;（C）補助金交付申請額の合計は（B）補助対象経費の1/3以内で入力してください"," "),$G$1032)</f>
        <v>#Err：正しい形式で入力されているか確認してください</v>
      </c>
      <c r="G1045" s="187"/>
      <c r="H1045" s="187"/>
      <c r="I1045" s="187"/>
      <c r="J1045" s="187"/>
      <c r="K1045" s="187"/>
      <c r="L1045" s="187"/>
      <c r="M1045" s="187"/>
      <c r="N1045" s="187"/>
      <c r="O1045" s="187"/>
      <c r="P1045" s="187"/>
      <c r="Q1045" s="218"/>
    </row>
    <row r="1046" spans="3:17">
      <c r="D1046" s="192">
        <v>9</v>
      </c>
      <c r="E1046" s="181" t="s">
        <v>382</v>
      </c>
      <c r="F1046" s="157" t="str">
        <f>IFERROR(IF(①申請者情報!E10="1/4補助率を許容する",IF(AND(#REF!&gt;0,#REF!&gt;(#REF!/4)),"③経費明細書シート &gt;（C）補助金交付申請額の合計は（B）補助対象経費の1/4以内で入力してください"," ")," "),$G$1032)</f>
        <v xml:space="preserve"> </v>
      </c>
      <c r="G1046" s="187"/>
      <c r="H1046" s="187"/>
      <c r="I1046" s="187"/>
      <c r="J1046" s="187"/>
      <c r="K1046" s="187"/>
      <c r="L1046" s="187"/>
      <c r="M1046" s="187"/>
      <c r="N1046" s="187"/>
      <c r="O1046" s="187"/>
      <c r="P1046" s="187"/>
      <c r="Q1046" s="218"/>
    </row>
    <row r="1047" spans="3:17">
      <c r="D1047" s="181">
        <v>10</v>
      </c>
      <c r="E1047" s="181" t="s">
        <v>383</v>
      </c>
      <c r="F1047" s="157" t="str">
        <f>IFERROR(IF(#REF!&gt;0,"③経費明細書シート &gt;「（A）事業に要する経費 ≧ （B）補助対象経費 ≧ （C）補助金交付申請額」となるように入力してください"," "),$G$1032)</f>
        <v>#Err：正しい形式で入力されているか確認してください</v>
      </c>
      <c r="G1047" s="187"/>
      <c r="H1047" s="187"/>
      <c r="I1047" s="187"/>
      <c r="J1047" s="187"/>
      <c r="K1047" s="187"/>
      <c r="L1047" s="187"/>
      <c r="M1047" s="187"/>
      <c r="N1047" s="187"/>
      <c r="O1047" s="187"/>
      <c r="P1047" s="187"/>
      <c r="Q1047" s="218"/>
    </row>
    <row r="1048" spans="3:17">
      <c r="D1048" s="1"/>
    </row>
    <row r="1049" spans="3:17">
      <c r="D1049" s="1"/>
    </row>
    <row r="1051" spans="3:17">
      <c r="C1051" s="11" t="s">
        <v>384</v>
      </c>
      <c r="D1051" s="11"/>
    </row>
    <row r="1052" spans="3:17">
      <c r="D1052" s="2"/>
      <c r="E1052" s="205" t="s">
        <v>385</v>
      </c>
      <c r="F1052" s="210" t="str">
        <f>IFERROR(IF(COUNTIF($G$1053:$Q$1053,"エラー"),"「2-4_給与支給総額（常時使用する従業員）≧6-4_給与支給総額（常時使用する従業員）」となるように入力してください"," "),$G$1032)</f>
        <v xml:space="preserve"> </v>
      </c>
      <c r="G1052" s="34"/>
      <c r="H1052" s="187"/>
      <c r="I1052" s="187"/>
      <c r="J1052" s="187"/>
      <c r="K1052" s="187"/>
      <c r="L1052" s="187"/>
      <c r="M1052" s="187"/>
      <c r="N1052" s="187"/>
      <c r="O1052" s="187"/>
      <c r="P1052" s="187"/>
      <c r="Q1052" s="218"/>
    </row>
    <row r="1053" spans="3:17">
      <c r="D1053" s="206"/>
      <c r="E1053" s="207"/>
      <c r="F1053" s="194" t="s">
        <v>151</v>
      </c>
      <c r="G1053" s="191" t="str">
        <f t="shared" ref="G1053:Q1053" si="259">IFERROR(IF(VALUE(G$36)&gt;=VALUE(G$84),"","エラー"),"エラー")</f>
        <v/>
      </c>
      <c r="H1053" s="191" t="str">
        <f t="shared" si="259"/>
        <v/>
      </c>
      <c r="I1053" s="191" t="str">
        <f t="shared" si="259"/>
        <v/>
      </c>
      <c r="J1053" s="191" t="str">
        <f t="shared" si="259"/>
        <v/>
      </c>
      <c r="K1053" s="191" t="str">
        <f t="shared" si="259"/>
        <v/>
      </c>
      <c r="L1053" s="191" t="str">
        <f t="shared" si="259"/>
        <v/>
      </c>
      <c r="M1053" s="191" t="str">
        <f t="shared" si="259"/>
        <v/>
      </c>
      <c r="N1053" s="191" t="str">
        <f t="shared" si="259"/>
        <v/>
      </c>
      <c r="O1053" s="191" t="str">
        <f t="shared" si="259"/>
        <v/>
      </c>
      <c r="P1053" s="191" t="str">
        <f t="shared" si="259"/>
        <v/>
      </c>
      <c r="Q1053" s="191" t="str">
        <f t="shared" si="259"/>
        <v/>
      </c>
    </row>
    <row r="1054" spans="3:17">
      <c r="D1054" s="208"/>
      <c r="E1054" s="335" t="s">
        <v>386</v>
      </c>
      <c r="F1054" s="210" t="str">
        <f>IFERROR(IF(COUNTIF($G$1055:$Q$1055,"エラー"),"「2-8_常時使用する従業員数（就業時間換算）≧6-8_常時使用する従業員数（就業時間換算）」となるように入力してください"," "),$G$1032)</f>
        <v xml:space="preserve"> </v>
      </c>
      <c r="G1054" s="34"/>
      <c r="H1054" s="187"/>
      <c r="I1054" s="187"/>
      <c r="J1054" s="187"/>
      <c r="K1054" s="187"/>
      <c r="L1054" s="187"/>
      <c r="M1054" s="187"/>
      <c r="N1054" s="187"/>
      <c r="O1054" s="187"/>
      <c r="P1054" s="187"/>
      <c r="Q1054" s="218"/>
    </row>
    <row r="1055" spans="3:17">
      <c r="D1055" s="206"/>
      <c r="E1055" s="207"/>
      <c r="F1055" s="194" t="s">
        <v>151</v>
      </c>
      <c r="G1055" s="191" t="str">
        <f t="shared" ref="G1055:Q1055" si="260">IFERROR(IF(VALUE(G$40)&gt;=VALUE(G$88),"","エラー"),"エラー")</f>
        <v/>
      </c>
      <c r="H1055" s="191" t="str">
        <f t="shared" si="260"/>
        <v/>
      </c>
      <c r="I1055" s="191" t="str">
        <f t="shared" si="260"/>
        <v/>
      </c>
      <c r="J1055" s="191" t="str">
        <f t="shared" si="260"/>
        <v/>
      </c>
      <c r="K1055" s="191" t="str">
        <f t="shared" si="260"/>
        <v/>
      </c>
      <c r="L1055" s="191" t="str">
        <f t="shared" si="260"/>
        <v/>
      </c>
      <c r="M1055" s="191" t="str">
        <f t="shared" si="260"/>
        <v/>
      </c>
      <c r="N1055" s="191" t="str">
        <f t="shared" si="260"/>
        <v/>
      </c>
      <c r="O1055" s="191" t="str">
        <f t="shared" si="260"/>
        <v/>
      </c>
      <c r="P1055" s="191" t="str">
        <f t="shared" si="260"/>
        <v/>
      </c>
      <c r="Q1055" s="191" t="str">
        <f t="shared" si="260"/>
        <v/>
      </c>
    </row>
    <row r="1056" spans="3:17">
      <c r="D1056" s="209"/>
      <c r="E1056" s="205" t="s">
        <v>387</v>
      </c>
      <c r="F1056" s="210" t="str">
        <f>IFERROR(IF(COUNTIF($G$1057:$Q$1057,"エラー"),"「2-5_給与支給総額（役員）≧6-5_給与支給総額（役員）」となるように入力してください"," "),$G$1032)</f>
        <v xml:space="preserve"> </v>
      </c>
      <c r="G1056" s="34"/>
      <c r="H1056" s="187"/>
      <c r="I1056" s="187"/>
      <c r="J1056" s="187"/>
      <c r="K1056" s="187"/>
      <c r="L1056" s="187"/>
      <c r="M1056" s="187"/>
      <c r="N1056" s="187"/>
      <c r="O1056" s="187"/>
      <c r="P1056" s="187"/>
      <c r="Q1056" s="218"/>
    </row>
    <row r="1057" spans="4:17">
      <c r="D1057" s="206"/>
      <c r="E1057" s="207"/>
      <c r="F1057" s="194" t="s">
        <v>151</v>
      </c>
      <c r="G1057" s="191" t="str">
        <f t="shared" ref="G1057:Q1057" si="261">IFERROR(IF(VALUE(G$37)&gt;=VALUE(G$85),"","エラー"),"エラー")</f>
        <v/>
      </c>
      <c r="H1057" s="191" t="str">
        <f t="shared" si="261"/>
        <v/>
      </c>
      <c r="I1057" s="191" t="str">
        <f t="shared" si="261"/>
        <v/>
      </c>
      <c r="J1057" s="191" t="str">
        <f t="shared" si="261"/>
        <v/>
      </c>
      <c r="K1057" s="191" t="str">
        <f t="shared" si="261"/>
        <v/>
      </c>
      <c r="L1057" s="191" t="str">
        <f t="shared" si="261"/>
        <v/>
      </c>
      <c r="M1057" s="191" t="str">
        <f t="shared" si="261"/>
        <v/>
      </c>
      <c r="N1057" s="191" t="str">
        <f t="shared" si="261"/>
        <v/>
      </c>
      <c r="O1057" s="191" t="str">
        <f t="shared" si="261"/>
        <v/>
      </c>
      <c r="P1057" s="191" t="str">
        <f t="shared" si="261"/>
        <v/>
      </c>
      <c r="Q1057" s="191" t="str">
        <f t="shared" si="261"/>
        <v/>
      </c>
    </row>
    <row r="1058" spans="4:17">
      <c r="D1058" s="209"/>
      <c r="E1058" s="205" t="s">
        <v>388</v>
      </c>
      <c r="F1058" s="210" t="str">
        <f>IFERROR(IF(COUNTIF($G$1059:$Q$1059,"エラー"),"「 2-9_役員数 ≧ 6-9_役員数」となるように入力してください"," "),$G$1032)</f>
        <v xml:space="preserve"> </v>
      </c>
      <c r="G1058" s="34"/>
      <c r="H1058" s="187"/>
      <c r="I1058" s="187"/>
      <c r="J1058" s="187"/>
      <c r="K1058" s="187"/>
      <c r="L1058" s="187"/>
      <c r="M1058" s="187"/>
      <c r="N1058" s="187"/>
      <c r="O1058" s="187"/>
      <c r="P1058" s="187"/>
      <c r="Q1058" s="218"/>
    </row>
    <row r="1059" spans="4:17">
      <c r="D1059" s="206"/>
      <c r="E1059" s="207"/>
      <c r="F1059" s="194" t="s">
        <v>151</v>
      </c>
      <c r="G1059" s="191" t="str">
        <f t="shared" ref="G1059:Q1059" si="262">IFERROR(IF(VALUE(G$41)&gt;=VALUE(G$89),"","エラー"),"エラー")</f>
        <v/>
      </c>
      <c r="H1059" s="191" t="str">
        <f t="shared" si="262"/>
        <v/>
      </c>
      <c r="I1059" s="191" t="str">
        <f t="shared" si="262"/>
        <v/>
      </c>
      <c r="J1059" s="191" t="str">
        <f t="shared" si="262"/>
        <v/>
      </c>
      <c r="K1059" s="191" t="str">
        <f t="shared" si="262"/>
        <v/>
      </c>
      <c r="L1059" s="191" t="str">
        <f t="shared" si="262"/>
        <v/>
      </c>
      <c r="M1059" s="191" t="str">
        <f t="shared" si="262"/>
        <v/>
      </c>
      <c r="N1059" s="191" t="str">
        <f t="shared" si="262"/>
        <v/>
      </c>
      <c r="O1059" s="191" t="str">
        <f t="shared" si="262"/>
        <v/>
      </c>
      <c r="P1059" s="191" t="str">
        <f t="shared" si="262"/>
        <v/>
      </c>
      <c r="Q1059" s="191" t="str">
        <f t="shared" si="262"/>
        <v/>
      </c>
    </row>
  </sheetData>
  <sheetProtection algorithmName="SHA-512" hashValue="ufivxpvAp5WPGLmolyT2jIUblAeISJLCoo3yeY0UGmUj4U16LWIdev4ijWQV25TAS+1p/dHaQ+tV1s6kJT/eYg==" saltValue="Olo7BA62sZf5UsIAS62pLg==" spinCount="100000" sheet="1" formatRows="0"/>
  <dataConsolidate/>
  <mergeCells count="98">
    <mergeCell ref="K942:N944"/>
    <mergeCell ref="Q943:Q944"/>
    <mergeCell ref="K888:N890"/>
    <mergeCell ref="Q889:Q890"/>
    <mergeCell ref="K906:N908"/>
    <mergeCell ref="Q907:Q908"/>
    <mergeCell ref="K924:N926"/>
    <mergeCell ref="Q925:Q926"/>
    <mergeCell ref="K834:N836"/>
    <mergeCell ref="Q835:Q836"/>
    <mergeCell ref="K852:N854"/>
    <mergeCell ref="Q853:Q854"/>
    <mergeCell ref="K870:N872"/>
    <mergeCell ref="Q871:Q872"/>
    <mergeCell ref="K780:N782"/>
    <mergeCell ref="Q781:Q782"/>
    <mergeCell ref="K798:N800"/>
    <mergeCell ref="Q799:Q800"/>
    <mergeCell ref="K816:N818"/>
    <mergeCell ref="Q817:Q818"/>
    <mergeCell ref="K726:N728"/>
    <mergeCell ref="Q727:Q728"/>
    <mergeCell ref="K744:N746"/>
    <mergeCell ref="Q745:Q746"/>
    <mergeCell ref="K762:N764"/>
    <mergeCell ref="Q763:Q764"/>
    <mergeCell ref="K672:N674"/>
    <mergeCell ref="Q673:Q674"/>
    <mergeCell ref="K690:N692"/>
    <mergeCell ref="Q691:Q692"/>
    <mergeCell ref="K708:N710"/>
    <mergeCell ref="Q709:Q710"/>
    <mergeCell ref="K618:N620"/>
    <mergeCell ref="Q619:Q620"/>
    <mergeCell ref="K636:N638"/>
    <mergeCell ref="Q637:Q638"/>
    <mergeCell ref="K654:N656"/>
    <mergeCell ref="Q655:Q656"/>
    <mergeCell ref="K564:N566"/>
    <mergeCell ref="Q565:Q566"/>
    <mergeCell ref="K582:N584"/>
    <mergeCell ref="Q583:Q584"/>
    <mergeCell ref="K600:N602"/>
    <mergeCell ref="Q601:Q602"/>
    <mergeCell ref="K510:N512"/>
    <mergeCell ref="Q511:Q512"/>
    <mergeCell ref="K528:N530"/>
    <mergeCell ref="Q529:Q530"/>
    <mergeCell ref="K546:N548"/>
    <mergeCell ref="Q547:Q548"/>
    <mergeCell ref="K456:N458"/>
    <mergeCell ref="Q457:Q458"/>
    <mergeCell ref="K474:N476"/>
    <mergeCell ref="Q475:Q476"/>
    <mergeCell ref="K492:N494"/>
    <mergeCell ref="Q493:Q494"/>
    <mergeCell ref="K402:N404"/>
    <mergeCell ref="Q403:Q404"/>
    <mergeCell ref="K420:N422"/>
    <mergeCell ref="Q421:Q422"/>
    <mergeCell ref="K438:N440"/>
    <mergeCell ref="Q439:Q440"/>
    <mergeCell ref="K348:N350"/>
    <mergeCell ref="Q349:Q350"/>
    <mergeCell ref="K366:N368"/>
    <mergeCell ref="Q367:Q368"/>
    <mergeCell ref="K384:N386"/>
    <mergeCell ref="Q385:Q386"/>
    <mergeCell ref="K294:N296"/>
    <mergeCell ref="Q295:Q296"/>
    <mergeCell ref="K312:N314"/>
    <mergeCell ref="Q313:Q314"/>
    <mergeCell ref="K330:N332"/>
    <mergeCell ref="Q331:Q332"/>
    <mergeCell ref="K240:N242"/>
    <mergeCell ref="Q241:Q242"/>
    <mergeCell ref="K258:N260"/>
    <mergeCell ref="Q259:Q260"/>
    <mergeCell ref="K276:N278"/>
    <mergeCell ref="Q277:Q278"/>
    <mergeCell ref="K186:N188"/>
    <mergeCell ref="Q187:Q188"/>
    <mergeCell ref="K204:N206"/>
    <mergeCell ref="Q205:Q206"/>
    <mergeCell ref="K222:N224"/>
    <mergeCell ref="Q223:Q224"/>
    <mergeCell ref="K132:N134"/>
    <mergeCell ref="Q133:Q134"/>
    <mergeCell ref="K150:N152"/>
    <mergeCell ref="Q151:Q152"/>
    <mergeCell ref="K168:N170"/>
    <mergeCell ref="Q169:Q170"/>
    <mergeCell ref="K114:N116"/>
    <mergeCell ref="Q115:Q116"/>
    <mergeCell ref="K27:N29"/>
    <mergeCell ref="P27:Q27"/>
    <mergeCell ref="O28:O29"/>
    <mergeCell ref="P28:Q29"/>
  </mergeCells>
  <phoneticPr fontId="1"/>
  <conditionalFormatting sqref="C5:E5">
    <cfRule type="expression" dxfId="68" priority="5">
      <formula>$C$5&lt;&gt;""</formula>
    </cfRule>
  </conditionalFormatting>
  <conditionalFormatting sqref="D130:Q145">
    <cfRule type="expression" dxfId="67" priority="51">
      <formula>$G$100=""</formula>
    </cfRule>
  </conditionalFormatting>
  <conditionalFormatting sqref="D148:Q163">
    <cfRule type="expression" dxfId="66" priority="50">
      <formula>$H$100=""</formula>
    </cfRule>
  </conditionalFormatting>
  <conditionalFormatting sqref="D166:Q181">
    <cfRule type="expression" dxfId="65" priority="49">
      <formula>$I$100=""</formula>
    </cfRule>
  </conditionalFormatting>
  <conditionalFormatting sqref="D184:Q199">
    <cfRule type="expression" dxfId="64" priority="48">
      <formula>$J$100=""</formula>
    </cfRule>
  </conditionalFormatting>
  <conditionalFormatting sqref="D202:Q217">
    <cfRule type="expression" dxfId="63" priority="47">
      <formula>$K$100=""</formula>
    </cfRule>
  </conditionalFormatting>
  <conditionalFormatting sqref="D220:Q235">
    <cfRule type="expression" dxfId="62" priority="46">
      <formula>$L$100=""</formula>
    </cfRule>
  </conditionalFormatting>
  <conditionalFormatting sqref="D238:Q253">
    <cfRule type="expression" dxfId="61" priority="45">
      <formula>$M$100=""</formula>
    </cfRule>
  </conditionalFormatting>
  <conditionalFormatting sqref="D256:Q271">
    <cfRule type="expression" dxfId="60" priority="44">
      <formula>$N$100=""</formula>
    </cfRule>
  </conditionalFormatting>
  <conditionalFormatting sqref="D274:Q289">
    <cfRule type="expression" dxfId="59" priority="43">
      <formula>$O$100=""</formula>
    </cfRule>
  </conditionalFormatting>
  <conditionalFormatting sqref="D292:Q307">
    <cfRule type="expression" dxfId="58" priority="42">
      <formula>$P$100=""</formula>
    </cfRule>
  </conditionalFormatting>
  <conditionalFormatting sqref="D310:Q325">
    <cfRule type="expression" dxfId="57" priority="41">
      <formula>$G$102=""</formula>
    </cfRule>
  </conditionalFormatting>
  <conditionalFormatting sqref="D328:Q343">
    <cfRule type="expression" dxfId="56" priority="40">
      <formula>$H$102=""</formula>
    </cfRule>
  </conditionalFormatting>
  <conditionalFormatting sqref="D346:Q361">
    <cfRule type="expression" dxfId="55" priority="39">
      <formula>$I$102=""</formula>
    </cfRule>
  </conditionalFormatting>
  <conditionalFormatting sqref="D364:Q379">
    <cfRule type="expression" dxfId="54" priority="38">
      <formula>$J$102=""</formula>
    </cfRule>
  </conditionalFormatting>
  <conditionalFormatting sqref="D382:Q397">
    <cfRule type="expression" dxfId="53" priority="37">
      <formula>$K$102=""</formula>
    </cfRule>
  </conditionalFormatting>
  <conditionalFormatting sqref="D400:Q415">
    <cfRule type="expression" dxfId="52" priority="36">
      <formula>$L$102=""</formula>
    </cfRule>
  </conditionalFormatting>
  <conditionalFormatting sqref="D418:Q433">
    <cfRule type="expression" dxfId="51" priority="35">
      <formula>$M$102=""</formula>
    </cfRule>
  </conditionalFormatting>
  <conditionalFormatting sqref="D436:Q451">
    <cfRule type="expression" dxfId="50" priority="34">
      <formula>$N$102=""</formula>
    </cfRule>
  </conditionalFormatting>
  <conditionalFormatting sqref="D454:Q469">
    <cfRule type="expression" dxfId="49" priority="33">
      <formula>$O$102=""</formula>
    </cfRule>
  </conditionalFormatting>
  <conditionalFormatting sqref="D472:Q487">
    <cfRule type="expression" dxfId="48" priority="32">
      <formula>$P$102=""</formula>
    </cfRule>
  </conditionalFormatting>
  <conditionalFormatting sqref="D490:Q505">
    <cfRule type="expression" dxfId="47" priority="31">
      <formula>$G$104=""</formula>
    </cfRule>
  </conditionalFormatting>
  <conditionalFormatting sqref="D508:Q523">
    <cfRule type="expression" dxfId="46" priority="30">
      <formula>$H$104=""</formula>
    </cfRule>
  </conditionalFormatting>
  <conditionalFormatting sqref="D526:Q541">
    <cfRule type="expression" dxfId="45" priority="29">
      <formula>$I$104=""</formula>
    </cfRule>
  </conditionalFormatting>
  <conditionalFormatting sqref="D544:Q559">
    <cfRule type="expression" dxfId="44" priority="28">
      <formula>$J$104=""</formula>
    </cfRule>
  </conditionalFormatting>
  <conditionalFormatting sqref="D562:Q577">
    <cfRule type="expression" dxfId="43" priority="27">
      <formula>$K$104=""</formula>
    </cfRule>
  </conditionalFormatting>
  <conditionalFormatting sqref="D580:Q595">
    <cfRule type="expression" dxfId="42" priority="26">
      <formula>$L$104=""</formula>
    </cfRule>
  </conditionalFormatting>
  <conditionalFormatting sqref="D598:Q613">
    <cfRule type="expression" dxfId="41" priority="25">
      <formula>$M$104=""</formula>
    </cfRule>
  </conditionalFormatting>
  <conditionalFormatting sqref="D616:Q631">
    <cfRule type="expression" dxfId="40" priority="24">
      <formula>$N$104=""</formula>
    </cfRule>
  </conditionalFormatting>
  <conditionalFormatting sqref="D634:Q649">
    <cfRule type="expression" dxfId="39" priority="23">
      <formula>$O$104=""</formula>
    </cfRule>
  </conditionalFormatting>
  <conditionalFormatting sqref="D652:Q667">
    <cfRule type="expression" dxfId="38" priority="22">
      <formula>$P$104=""</formula>
    </cfRule>
  </conditionalFormatting>
  <conditionalFormatting sqref="D670:Q685">
    <cfRule type="expression" dxfId="37" priority="21">
      <formula>$G$106=""</formula>
    </cfRule>
  </conditionalFormatting>
  <conditionalFormatting sqref="D688:Q703">
    <cfRule type="expression" dxfId="36" priority="20">
      <formula>$H$106=""</formula>
    </cfRule>
  </conditionalFormatting>
  <conditionalFormatting sqref="D706:Q721">
    <cfRule type="expression" dxfId="35" priority="19">
      <formula>$I$106=""</formula>
    </cfRule>
  </conditionalFormatting>
  <conditionalFormatting sqref="D724:Q739">
    <cfRule type="expression" dxfId="34" priority="18">
      <formula>$J$106=""</formula>
    </cfRule>
  </conditionalFormatting>
  <conditionalFormatting sqref="D742:Q757">
    <cfRule type="expression" dxfId="33" priority="17">
      <formula>$K$106=""</formula>
    </cfRule>
  </conditionalFormatting>
  <conditionalFormatting sqref="D760:Q775">
    <cfRule type="expression" dxfId="32" priority="16">
      <formula>$L$106=""</formula>
    </cfRule>
  </conditionalFormatting>
  <conditionalFormatting sqref="D778:Q793">
    <cfRule type="expression" dxfId="31" priority="15">
      <formula>$M$106=""</formula>
    </cfRule>
  </conditionalFormatting>
  <conditionalFormatting sqref="D796:Q811">
    <cfRule type="expression" dxfId="30" priority="14">
      <formula>$N$106=""</formula>
    </cfRule>
  </conditionalFormatting>
  <conditionalFormatting sqref="D814:Q829">
    <cfRule type="expression" dxfId="29" priority="13">
      <formula>$O$106=""</formula>
    </cfRule>
  </conditionalFormatting>
  <conditionalFormatting sqref="D832:Q847">
    <cfRule type="expression" dxfId="28" priority="12">
      <formula>$P$106=""</formula>
    </cfRule>
  </conditionalFormatting>
  <conditionalFormatting sqref="D850:Q865">
    <cfRule type="expression" dxfId="27" priority="11">
      <formula>$G$108=""</formula>
    </cfRule>
  </conditionalFormatting>
  <conditionalFormatting sqref="D868:Q883">
    <cfRule type="expression" dxfId="26" priority="10">
      <formula>$H$108=""</formula>
    </cfRule>
  </conditionalFormatting>
  <conditionalFormatting sqref="D886:Q901">
    <cfRule type="expression" dxfId="25" priority="9">
      <formula>$I$108=""</formula>
    </cfRule>
  </conditionalFormatting>
  <conditionalFormatting sqref="D904:Q919">
    <cfRule type="expression" dxfId="24" priority="8">
      <formula>$J$108=""</formula>
    </cfRule>
  </conditionalFormatting>
  <conditionalFormatting sqref="D922:Q937">
    <cfRule type="expression" dxfId="23" priority="7">
      <formula>$K$108=""</formula>
    </cfRule>
  </conditionalFormatting>
  <conditionalFormatting sqref="D940:Q955">
    <cfRule type="expression" dxfId="22" priority="6">
      <formula>$L$108=""</formula>
    </cfRule>
  </conditionalFormatting>
  <conditionalFormatting sqref="G74 G116 G134 G152 G170 G188 G206 G224 G242 G260 G278 G296 G314 G332 G350 G368 G386 G404 G422 G440 G458 G476 G494 G512 G530 G548 G566 G584 G602 G620 G638 G656 G674 G692 G710 G728 G746 G764 G782 G800 G818 G836 G854 G872 G890 G908 G926 G944">
    <cfRule type="expression" dxfId="21" priority="2">
      <formula>OR($G71="T_分類不能の産業",COUNTIF($G73,"*その他*"),COUNTIF($G73,"*他に分類されない*"))</formula>
    </cfRule>
  </conditionalFormatting>
  <conditionalFormatting sqref="G971:G977 H978:Q978 H980:Q980 H982:Q982 H984:Q984 H986:N986 G987 H988:Q988 H990:Q990 H992:Q992 H994:Q994 H996:N996 G997 H998:Q998 H1000:Q1000 H1002:Q1002 H1004:Q1004 H1006:N1006 H1010:Q1010 H1012:Q1012 H1014:Q1014 H1016:Q1016 H1018:N1018 G1019 H1020:Q1020 H1022:Q1022 H1024:Q1024 H1026:Q1026 H1028:N1028">
    <cfRule type="expression" dxfId="20" priority="52">
      <formula>G971="非該当"</formula>
    </cfRule>
  </conditionalFormatting>
  <conditionalFormatting sqref="G1007:G1009">
    <cfRule type="expression" dxfId="19" priority="1">
      <formula>G1007="非該当"</formula>
    </cfRule>
  </conditionalFormatting>
  <conditionalFormatting sqref="G33:Q46 J49:Q50 G81:Q94 G120:Q127 G138:Q145 G156:Q163 G174:Q181 G192:Q199 G210:Q217 G228:Q235 G246:Q253 G264:Q271 G282:Q289 G300:Q307 G318:Q325 G336:Q343 G354:Q361 G372:Q379 G390:Q397 G408:Q415 G426:Q433 G444:Q451 G462:Q469 G480:Q487 G498:Q505 G516:Q523 G534:Q541 G552:Q559 G570:Q577 G588:Q595 G606:Q613 G624:Q631 G642:Q649 G660:Q667 G678:Q685 G696:Q703 G714:Q721 G732:Q739 G750:Q757 G768:Q775 G786:Q793 G804:Q811 G822:Q829 G840:Q847 G858:Q865 G876:Q883 G894:Q901 G912:Q919 G930:Q937 G948:Q955">
    <cfRule type="expression" dxfId="18" priority="4">
      <formula>G$13="－"</formula>
    </cfRule>
  </conditionalFormatting>
  <conditionalFormatting sqref="H68:H69">
    <cfRule type="expression" dxfId="17" priority="3">
      <formula>$G68="非該当"</formula>
    </cfRule>
  </conditionalFormatting>
  <dataValidations count="105">
    <dataValidation type="list" allowBlank="1" showInputMessage="1" showErrorMessage="1" sqref="G115" xr:uid="{2B053104-FFA4-48F5-AC69-0DDE33427F81}">
      <formula1>INDIRECT("_"&amp;$G$114)</formula1>
    </dataValidation>
    <dataValidation type="list" allowBlank="1" showInputMessage="1" showErrorMessage="1" sqref="G114" xr:uid="{2AFB45B7-1C9F-4BEA-8F39-EFEA73685FCB}">
      <formula1>INDIRECT($G$113)</formula1>
    </dataValidation>
    <dataValidation type="list" allowBlank="1" showInputMessage="1" showErrorMessage="1" sqref="G98 G106:P106 G100:P100 G102:P102 G104:P104 G108:L108" xr:uid="{8FB33C8D-B335-4ABE-948C-A4D6F78259F1}">
      <formula1>"北海道,青森,岩手,宮城,秋田,山形,福島,茨城,栃木,群馬,埼玉,千葉,東京,神奈川,新潟,富山,石川,福井,山梨,長野,岐阜,静岡,愛知,三重,滋賀,京都,大阪,兵庫,奈良,和歌山,鳥取,島根,岡山,広島,山口,徳島,香川,愛媛,高知,福岡,佐賀,長崎,熊本,大分,宮崎,鹿児島,沖縄"</formula1>
    </dataValidation>
    <dataValidation type="list" allowBlank="1" showInputMessage="1" showErrorMessage="1" sqref="G69" xr:uid="{3BA2871A-EF8E-4109-A70F-6984F182BF44}">
      <formula1>"行動計画,えるぼし(1段階目),えるぼし(2段階目),えるぼし(3段階目),プラチナえるぼし,非該当"</formula1>
    </dataValidation>
    <dataValidation type="list" allowBlank="1" showInputMessage="1" showErrorMessage="1" sqref="G68" xr:uid="{719FFD84-E880-49A9-B3D6-E41250BC90EE}">
      <formula1>"行動計画,トライくるみん,トライくるみんプラス,くるみん,くるみんプラス,プラチナくるみん,プラチナくるみんプラス,非該当"</formula1>
    </dataValidation>
    <dataValidation type="list" allowBlank="1" showInputMessage="1" showErrorMessage="1" sqref="G943" xr:uid="{F9DB3B7A-2CC1-4B05-9345-BFD2EE6C3C5E}">
      <formula1>INDIRECT("_"&amp;$G$942)</formula1>
    </dataValidation>
    <dataValidation type="list" allowBlank="1" showInputMessage="1" showErrorMessage="1" sqref="G925" xr:uid="{56FCF94A-37A0-4DB4-BAA5-FF5A9ABA1300}">
      <formula1>INDIRECT("_"&amp;$G$924)</formula1>
    </dataValidation>
    <dataValidation type="list" allowBlank="1" showInputMessage="1" showErrorMessage="1" sqref="G907" xr:uid="{9B4E0883-8A67-4A57-85E1-E21CBD93EA9A}">
      <formula1>INDIRECT("_"&amp;$G$906)</formula1>
    </dataValidation>
    <dataValidation type="list" allowBlank="1" showInputMessage="1" showErrorMessage="1" sqref="G906" xr:uid="{3E3F5097-5F2C-4690-AF63-9B431FC30EA9}">
      <formula1>INDIRECT($G$905)</formula1>
    </dataValidation>
    <dataValidation type="list" allowBlank="1" showInputMessage="1" showErrorMessage="1" sqref="G889" xr:uid="{1EC9F01D-7F33-44EB-83C3-0A6024C6D3BF}">
      <formula1>INDIRECT("_"&amp;$G$888)</formula1>
    </dataValidation>
    <dataValidation type="list" allowBlank="1" showInputMessage="1" showErrorMessage="1" sqref="G888" xr:uid="{6DBE1B2B-EBBD-4265-8FE3-5817B5CAED97}">
      <formula1>INDIRECT($G$887)</formula1>
    </dataValidation>
    <dataValidation type="list" allowBlank="1" showInputMessage="1" showErrorMessage="1" sqref="G871" xr:uid="{083B51B3-747D-4DA0-83FB-CF91B73E2FB0}">
      <formula1>INDIRECT("_"&amp;$G$870)</formula1>
    </dataValidation>
    <dataValidation type="list" allowBlank="1" showInputMessage="1" showErrorMessage="1" sqref="G870" xr:uid="{BFF7974D-583E-474B-8300-0F607AD3A72B}">
      <formula1>INDIRECT($G$869)</formula1>
    </dataValidation>
    <dataValidation type="list" allowBlank="1" showInputMessage="1" showErrorMessage="1" sqref="G853" xr:uid="{35DC3ACB-38A4-4578-B45D-D4E524375FBC}">
      <formula1>INDIRECT("_"&amp;$G$852)</formula1>
    </dataValidation>
    <dataValidation type="list" allowBlank="1" showInputMessage="1" showErrorMessage="1" sqref="G852" xr:uid="{26A44A27-9EE0-440C-9D92-AA01E0746A41}">
      <formula1>INDIRECT($G$851)</formula1>
    </dataValidation>
    <dataValidation type="list" allowBlank="1" showInputMessage="1" showErrorMessage="1" sqref="G835" xr:uid="{E842E217-6982-4E95-B049-6B88E224D320}">
      <formula1>INDIRECT("_"&amp;$G$834)</formula1>
    </dataValidation>
    <dataValidation type="list" allowBlank="1" showInputMessage="1" showErrorMessage="1" sqref="G834" xr:uid="{7CE5C85D-D75F-4EB7-A022-E993104B0D28}">
      <formula1>INDIRECT($G$833)</formula1>
    </dataValidation>
    <dataValidation type="list" allowBlank="1" showInputMessage="1" showErrorMessage="1" sqref="G817" xr:uid="{1EF79ED6-763C-4ECC-A752-C5FE4000EC7C}">
      <formula1>INDIRECT("_"&amp;$G$816)</formula1>
    </dataValidation>
    <dataValidation type="list" allowBlank="1" showInputMessage="1" showErrorMessage="1" sqref="G816" xr:uid="{AA6D5BF4-FDB2-4C69-ACCC-48FF7F6CD780}">
      <formula1>INDIRECT($G$815)</formula1>
    </dataValidation>
    <dataValidation type="list" allowBlank="1" showInputMessage="1" showErrorMessage="1" sqref="G799" xr:uid="{A5B1C2B0-344B-4A53-94A9-CBDDFE30DBBD}">
      <formula1>INDIRECT("_"&amp;$G$798)</formula1>
    </dataValidation>
    <dataValidation type="list" allowBlank="1" showInputMessage="1" showErrorMessage="1" sqref="G798" xr:uid="{E7273A43-FB53-4424-85CD-E1490C557B49}">
      <formula1>INDIRECT($G$797)</formula1>
    </dataValidation>
    <dataValidation type="list" allowBlank="1" showInputMessage="1" showErrorMessage="1" sqref="G781" xr:uid="{626F22CD-3562-4440-9933-4D45A47B6541}">
      <formula1>INDIRECT("_"&amp;$G$780)</formula1>
    </dataValidation>
    <dataValidation type="list" allowBlank="1" showInputMessage="1" showErrorMessage="1" sqref="G780" xr:uid="{03A9EFA9-5FF7-4845-9F1D-861F16202BD7}">
      <formula1>INDIRECT($G$779)</formula1>
    </dataValidation>
    <dataValidation type="list" allowBlank="1" showInputMessage="1" showErrorMessage="1" sqref="G763" xr:uid="{3B3A101F-5DA2-451F-AB22-2D1B00AF6A34}">
      <formula1>INDIRECT("_"&amp;$G$762)</formula1>
    </dataValidation>
    <dataValidation type="list" allowBlank="1" showInputMessage="1" showErrorMessage="1" sqref="G762" xr:uid="{5DACBFE1-7D7A-4A1F-BC43-53F770C4C627}">
      <formula1>INDIRECT($G$761)</formula1>
    </dataValidation>
    <dataValidation type="list" allowBlank="1" showInputMessage="1" showErrorMessage="1" sqref="G745" xr:uid="{D577657C-C6DA-46D7-86A5-EDF016D60A50}">
      <formula1>INDIRECT("_"&amp;$G$744)</formula1>
    </dataValidation>
    <dataValidation type="list" allowBlank="1" showInputMessage="1" showErrorMessage="1" sqref="G744" xr:uid="{BC8C1A5D-6E81-4A33-8754-94CB031C0E99}">
      <formula1>INDIRECT($G$743)</formula1>
    </dataValidation>
    <dataValidation type="list" allowBlank="1" showInputMessage="1" showErrorMessage="1" sqref="G727" xr:uid="{FB5A395A-A177-4A69-9868-056344F3336B}">
      <formula1>INDIRECT("_"&amp;$G$726)</formula1>
    </dataValidation>
    <dataValidation type="list" allowBlank="1" showInputMessage="1" showErrorMessage="1" sqref="G726" xr:uid="{59FBD88D-BD22-4100-98DA-5B7FFF5E1E68}">
      <formula1>INDIRECT($G$725)</formula1>
    </dataValidation>
    <dataValidation type="list" allowBlank="1" showInputMessage="1" showErrorMessage="1" sqref="G709" xr:uid="{9D0F48F4-EF56-494A-89A3-6C9B12D0F8F6}">
      <formula1>INDIRECT("_"&amp;$G$708)</formula1>
    </dataValidation>
    <dataValidation type="list" allowBlank="1" showInputMessage="1" showErrorMessage="1" sqref="G708" xr:uid="{75F1D873-2DBA-499F-B4C8-9B076EFB3357}">
      <formula1>INDIRECT($G$707)</formula1>
    </dataValidation>
    <dataValidation type="list" allowBlank="1" showInputMessage="1" showErrorMessage="1" sqref="G691" xr:uid="{43146E19-9700-445B-87BD-2ACC6569FB67}">
      <formula1>INDIRECT("_"&amp;$G$690)</formula1>
    </dataValidation>
    <dataValidation type="list" allowBlank="1" showInputMessage="1" showErrorMessage="1" sqref="G690" xr:uid="{A7ED5B9D-859D-40C7-9D2D-F8C00A8B9C71}">
      <formula1>INDIRECT($G$689)</formula1>
    </dataValidation>
    <dataValidation type="list" allowBlank="1" showInputMessage="1" showErrorMessage="1" sqref="G673" xr:uid="{934388A6-9197-4709-8E29-2FE6FEA91501}">
      <formula1>INDIRECT("_"&amp;$G$672)</formula1>
    </dataValidation>
    <dataValidation type="list" allowBlank="1" showInputMessage="1" showErrorMessage="1" sqref="G672" xr:uid="{1486A2ED-D608-44B1-86BF-09EF101DC3CC}">
      <formula1>INDIRECT($G$671)</formula1>
    </dataValidation>
    <dataValidation type="list" allowBlank="1" showInputMessage="1" showErrorMessage="1" sqref="G655" xr:uid="{427F1621-63FA-4DE5-BEDA-A9CA98FF7477}">
      <formula1>INDIRECT("_"&amp;$G$654)</formula1>
    </dataValidation>
    <dataValidation type="list" allowBlank="1" showInputMessage="1" showErrorMessage="1" sqref="G654" xr:uid="{B7C9A7B2-2D85-4B4E-862E-BCECC52B12A2}">
      <formula1>INDIRECT($G$653)</formula1>
    </dataValidation>
    <dataValidation type="list" allowBlank="1" showInputMessage="1" showErrorMessage="1" sqref="G637" xr:uid="{7ECECFFE-FC6A-43BF-A84D-B48B60F75852}">
      <formula1>INDIRECT("_"&amp;$G$636)</formula1>
    </dataValidation>
    <dataValidation type="list" allowBlank="1" showInputMessage="1" showErrorMessage="1" sqref="G636" xr:uid="{51771445-665A-4673-A137-01DFB07FCB3F}">
      <formula1>INDIRECT($G$635)</formula1>
    </dataValidation>
    <dataValidation type="list" allowBlank="1" showInputMessage="1" showErrorMessage="1" sqref="G619" xr:uid="{966B1779-A15A-47AC-A02C-92E8407B1D43}">
      <formula1>INDIRECT("_"&amp;$G$618)</formula1>
    </dataValidation>
    <dataValidation type="list" allowBlank="1" showInputMessage="1" showErrorMessage="1" sqref="G618" xr:uid="{08EE2DB5-C663-43CB-8E8F-2651417998CD}">
      <formula1>INDIRECT($G$617)</formula1>
    </dataValidation>
    <dataValidation type="list" allowBlank="1" showInputMessage="1" showErrorMessage="1" sqref="G601" xr:uid="{DF19C055-33CB-4A5D-BEF5-D931E458A672}">
      <formula1>INDIRECT("_"&amp;$G$600)</formula1>
    </dataValidation>
    <dataValidation type="list" allowBlank="1" showInputMessage="1" showErrorMessage="1" sqref="G600" xr:uid="{A4C2A133-B923-4568-A5B2-D43725657DBD}">
      <formula1>INDIRECT($G$599)</formula1>
    </dataValidation>
    <dataValidation type="list" allowBlank="1" showInputMessage="1" showErrorMessage="1" sqref="G583" xr:uid="{897E4FDB-9E94-41C1-A6BC-3ABF3A5C3F9C}">
      <formula1>INDIRECT("_"&amp;$G$582)</formula1>
    </dataValidation>
    <dataValidation type="list" allowBlank="1" showInputMessage="1" showErrorMessage="1" sqref="G582" xr:uid="{0B6E1275-CAD6-4BE6-810E-50B5BDF488FB}">
      <formula1>INDIRECT($G$581)</formula1>
    </dataValidation>
    <dataValidation type="list" allowBlank="1" showInputMessage="1" showErrorMessage="1" sqref="G565" xr:uid="{68F8774D-E847-4B93-B4A0-134EEA509418}">
      <formula1>INDIRECT("_"&amp;$G$564)</formula1>
    </dataValidation>
    <dataValidation type="list" allowBlank="1" showInputMessage="1" showErrorMessage="1" sqref="G564" xr:uid="{7EA9A579-7782-4502-B768-B909BE62ADF4}">
      <formula1>INDIRECT($G$563)</formula1>
    </dataValidation>
    <dataValidation type="list" allowBlank="1" showInputMessage="1" showErrorMessage="1" sqref="G547" xr:uid="{08A79332-C57E-4878-B712-43F09B6E4A31}">
      <formula1>INDIRECT("_"&amp;$G$546)</formula1>
    </dataValidation>
    <dataValidation type="list" allowBlank="1" showInputMessage="1" showErrorMessage="1" sqref="G546" xr:uid="{C58F22E8-06F2-4115-A919-8A0AC45762F3}">
      <formula1>INDIRECT($G$545)</formula1>
    </dataValidation>
    <dataValidation type="list" allowBlank="1" showInputMessage="1" showErrorMessage="1" sqref="G529" xr:uid="{E2F5502E-35C6-48E0-BE77-1B8B92F1D93A}">
      <formula1>INDIRECT("_"&amp;$G$528)</formula1>
    </dataValidation>
    <dataValidation type="list" allowBlank="1" showInputMessage="1" showErrorMessage="1" sqref="G528" xr:uid="{0E8BDE34-1F89-4D2F-9DF2-60C9ABBD28E0}">
      <formula1>INDIRECT($G$527)</formula1>
    </dataValidation>
    <dataValidation type="list" allowBlank="1" showInputMessage="1" showErrorMessage="1" sqref="G511" xr:uid="{3EE989C2-DE3C-422C-B250-94EB9C0DDB81}">
      <formula1>INDIRECT("_"&amp;$G$510)</formula1>
    </dataValidation>
    <dataValidation type="list" allowBlank="1" showInputMessage="1" showErrorMessage="1" sqref="G510" xr:uid="{EE959592-8AA3-4357-BEC1-9C44A454CC55}">
      <formula1>INDIRECT($G$509)</formula1>
    </dataValidation>
    <dataValidation type="list" allowBlank="1" showInputMessage="1" showErrorMessage="1" sqref="G493" xr:uid="{09EC6EE5-D03B-4C3F-8955-43AF58138B2D}">
      <formula1>INDIRECT("_"&amp;$G$492)</formula1>
    </dataValidation>
    <dataValidation type="list" allowBlank="1" showInputMessage="1" showErrorMessage="1" sqref="G492" xr:uid="{C035748D-44F5-4C8E-95F1-C77E5CAC5E30}">
      <formula1>INDIRECT($G$491)</formula1>
    </dataValidation>
    <dataValidation type="list" allowBlank="1" showInputMessage="1" showErrorMessage="1" sqref="G475" xr:uid="{57F87DE8-DA5E-41DC-9474-FBFC99E218FE}">
      <formula1>INDIRECT("_"&amp;$G$474)</formula1>
    </dataValidation>
    <dataValidation type="list" allowBlank="1" showInputMessage="1" showErrorMessage="1" sqref="G474" xr:uid="{50D9B293-8B72-4C9A-B973-CCA2B1901111}">
      <formula1>INDIRECT($G$473)</formula1>
    </dataValidation>
    <dataValidation type="list" allowBlank="1" showInputMessage="1" showErrorMessage="1" sqref="G457" xr:uid="{55DA5D5C-C153-4C4D-8900-B971AD8EE89D}">
      <formula1>INDIRECT("_"&amp;$G$456)</formula1>
    </dataValidation>
    <dataValidation type="list" allowBlank="1" showInputMessage="1" showErrorMessage="1" sqref="G456" xr:uid="{6710C053-CC02-4AF3-BD7D-13A33C9FF8F8}">
      <formula1>INDIRECT($G$455)</formula1>
    </dataValidation>
    <dataValidation type="list" allowBlank="1" showInputMessage="1" showErrorMessage="1" sqref="G438" xr:uid="{A588429E-AFB0-4CD4-8B66-91B07D291AFA}">
      <formula1>INDIRECT($G$437)</formula1>
    </dataValidation>
    <dataValidation type="list" allowBlank="1" showInputMessage="1" showErrorMessage="1" sqref="G421" xr:uid="{4D318E8D-0CC7-47FC-AB96-2DB5F2C0E900}">
      <formula1>INDIRECT("_"&amp;$G$420)</formula1>
    </dataValidation>
    <dataValidation type="list" allowBlank="1" showInputMessage="1" showErrorMessage="1" sqref="G420" xr:uid="{F2E7F6EF-083A-4EB7-868D-489C5D2417B5}">
      <formula1>INDIRECT($G$419)</formula1>
    </dataValidation>
    <dataValidation type="list" allowBlank="1" showInputMessage="1" showErrorMessage="1" sqref="G403" xr:uid="{A2941DA1-57CF-4158-BF08-B5399EF1239E}">
      <formula1>INDIRECT("_"&amp;$G$402)</formula1>
    </dataValidation>
    <dataValidation type="list" allowBlank="1" showInputMessage="1" showErrorMessage="1" sqref="G402" xr:uid="{1FBDC4EA-8692-424E-86F6-E09D1F79E07E}">
      <formula1>INDIRECT($G$401)</formula1>
    </dataValidation>
    <dataValidation type="list" allowBlank="1" showInputMessage="1" showErrorMessage="1" sqref="G385" xr:uid="{396673AA-1A71-4E57-B115-21A80A3A3023}">
      <formula1>INDIRECT("_"&amp;$G$384)</formula1>
    </dataValidation>
    <dataValidation type="list" allowBlank="1" showInputMessage="1" showErrorMessage="1" sqref="G384" xr:uid="{30F6D18D-993A-4EBB-86D7-FC8A56B0252D}">
      <formula1>INDIRECT($G$383)</formula1>
    </dataValidation>
    <dataValidation type="list" allowBlank="1" showInputMessage="1" showErrorMessage="1" sqref="G367" xr:uid="{FEE92549-89DD-40D0-8587-BB6144C3822C}">
      <formula1>INDIRECT("_"&amp;$G$366)</formula1>
    </dataValidation>
    <dataValidation type="list" allowBlank="1" showInputMessage="1" showErrorMessage="1" sqref="G366" xr:uid="{216AEA6A-5176-4971-9C03-F59EBA3A8356}">
      <formula1>INDIRECT($G$365)</formula1>
    </dataValidation>
    <dataValidation type="list" allowBlank="1" showInputMessage="1" showErrorMessage="1" sqref="G349" xr:uid="{DD372175-0E2B-49C1-A686-36D48700EFCB}">
      <formula1>INDIRECT("_"&amp;$G$348)</formula1>
    </dataValidation>
    <dataValidation type="list" allowBlank="1" showInputMessage="1" showErrorMessage="1" sqref="G348" xr:uid="{55002CBA-D5FC-4A43-A7C8-D90A43E66594}">
      <formula1>INDIRECT($G$347)</formula1>
    </dataValidation>
    <dataValidation type="list" allowBlank="1" showInputMessage="1" showErrorMessage="1" sqref="G331" xr:uid="{5114879C-37AD-49D7-B1D0-838232B3FD08}">
      <formula1>INDIRECT("_"&amp;$G$330)</formula1>
    </dataValidation>
    <dataValidation type="list" allowBlank="1" showInputMessage="1" showErrorMessage="1" sqref="G330" xr:uid="{93743DF6-A4EA-48A8-BC56-46093C170520}">
      <formula1>INDIRECT($G$329)</formula1>
    </dataValidation>
    <dataValidation type="list" allowBlank="1" showInputMessage="1" showErrorMessage="1" sqref="G313" xr:uid="{13B5C3CB-EC72-4E30-A3BF-FCED997237A6}">
      <formula1>INDIRECT("_"&amp;$G$312)</formula1>
    </dataValidation>
    <dataValidation type="list" allowBlank="1" showInputMessage="1" showErrorMessage="1" sqref="G312" xr:uid="{A4C1AABD-D6C5-464E-AD19-4BB6E625D861}">
      <formula1>INDIRECT($G$311)</formula1>
    </dataValidation>
    <dataValidation type="list" allowBlank="1" showInputMessage="1" showErrorMessage="1" sqref="G295" xr:uid="{B4193663-A96F-48D8-9E0D-7F26736CA80F}">
      <formula1>INDIRECT("_"&amp;$G$294)</formula1>
    </dataValidation>
    <dataValidation type="list" allowBlank="1" showInputMessage="1" showErrorMessage="1" sqref="G294" xr:uid="{796D62CC-C7E4-4F50-8AF5-94E7C1B3AAFA}">
      <formula1>INDIRECT($G$293)</formula1>
    </dataValidation>
    <dataValidation type="list" allowBlank="1" showInputMessage="1" showErrorMessage="1" sqref="G277" xr:uid="{8B50167D-B4DD-4313-BDF1-E5C3328D8229}">
      <formula1>INDIRECT("_"&amp;$G$276)</formula1>
    </dataValidation>
    <dataValidation type="list" allowBlank="1" showInputMessage="1" showErrorMessage="1" sqref="G276" xr:uid="{1FC8F788-39BA-4948-92DC-8ABD48BA39FD}">
      <formula1>INDIRECT($G$275)</formula1>
    </dataValidation>
    <dataValidation type="list" allowBlank="1" showInputMessage="1" showErrorMessage="1" sqref="G259" xr:uid="{08DC5388-9CC1-494A-A438-1E0769D977D3}">
      <formula1>INDIRECT("_"&amp;$G$258)</formula1>
    </dataValidation>
    <dataValidation type="list" allowBlank="1" showInputMessage="1" showErrorMessage="1" sqref="G258" xr:uid="{6B0FD375-D6C5-4967-B874-B7627CB33FD1}">
      <formula1>INDIRECT($G$257)</formula1>
    </dataValidation>
    <dataValidation type="list" allowBlank="1" showInputMessage="1" showErrorMessage="1" sqref="G241" xr:uid="{669CB179-B36D-4CD8-875F-238E7CB228C5}">
      <formula1>INDIRECT("_"&amp;$G$240)</formula1>
    </dataValidation>
    <dataValidation type="list" allowBlank="1" showInputMessage="1" showErrorMessage="1" sqref="G240" xr:uid="{C6196B2D-9F75-4881-AEA1-F3662FA8237F}">
      <formula1>INDIRECT($G$239)</formula1>
    </dataValidation>
    <dataValidation type="list" allowBlank="1" showInputMessage="1" showErrorMessage="1" sqref="G223" xr:uid="{DB2F7C82-733F-44B8-9897-76BB2FB1AA71}">
      <formula1>INDIRECT("_"&amp;$G$222)</formula1>
    </dataValidation>
    <dataValidation type="list" allowBlank="1" showInputMessage="1" showErrorMessage="1" sqref="G222" xr:uid="{A75F4277-2FEE-4FCE-BB4B-2C0A3A27FDEE}">
      <formula1>INDIRECT($G$221)</formula1>
    </dataValidation>
    <dataValidation type="list" allowBlank="1" showInputMessage="1" showErrorMessage="1" sqref="G205" xr:uid="{DBA18DBB-269F-49EE-AB64-B75397030203}">
      <formula1>INDIRECT("_"&amp;$G$204)</formula1>
    </dataValidation>
    <dataValidation type="list" allowBlank="1" showInputMessage="1" showErrorMessage="1" sqref="G204" xr:uid="{65BA0F93-2EF3-44BB-B668-76867F0D6653}">
      <formula1>INDIRECT($G$203)</formula1>
    </dataValidation>
    <dataValidation type="list" allowBlank="1" showInputMessage="1" showErrorMessage="1" sqref="G187" xr:uid="{88881F75-4B09-4F8F-9D51-F73CA33B4D7B}">
      <formula1>INDIRECT("_"&amp;$G$186)</formula1>
    </dataValidation>
    <dataValidation type="list" allowBlank="1" showInputMessage="1" showErrorMessage="1" sqref="G186" xr:uid="{282C1A14-FCC4-446B-9514-5D563990C3F3}">
      <formula1>INDIRECT($G$185)</formula1>
    </dataValidation>
    <dataValidation type="list" allowBlank="1" showInputMessage="1" showErrorMessage="1" sqref="G169" xr:uid="{058C7E55-48F2-4AA1-8E3C-1CBC46545CDE}">
      <formula1>INDIRECT("_"&amp;$G$168)</formula1>
    </dataValidation>
    <dataValidation type="list" allowBlank="1" showInputMessage="1" showErrorMessage="1" sqref="G168" xr:uid="{B0AB605A-284C-4D11-A5CA-C47DEE4C2551}">
      <formula1>INDIRECT($G$167)</formula1>
    </dataValidation>
    <dataValidation type="list" allowBlank="1" showInputMessage="1" showErrorMessage="1" sqref="G151" xr:uid="{D2B6831E-1F8E-40DF-898F-148EBE61B88B}">
      <formula1>INDIRECT("_"&amp;$G$150)</formula1>
    </dataValidation>
    <dataValidation type="list" allowBlank="1" showInputMessage="1" showErrorMessage="1" sqref="G150" xr:uid="{B7C7B7ED-4DEC-472B-AC61-1323FEE04A10}">
      <formula1>INDIRECT($G$149)</formula1>
    </dataValidation>
    <dataValidation type="list" allowBlank="1" showInputMessage="1" showErrorMessage="1" sqref="G133" xr:uid="{D2E59F17-3DDD-4541-AA0E-E97237E0456D}">
      <formula1>INDIRECT("_"&amp;$G$132)</formula1>
    </dataValidation>
    <dataValidation type="list" allowBlank="1" showInputMessage="1" showErrorMessage="1" sqref="G132" xr:uid="{48BB3EDC-F95F-4875-B2F1-3D7111DD1CD9}">
      <formula1>INDIRECT($G$131)</formula1>
    </dataValidation>
    <dataValidation type="list" allowBlank="1" showInputMessage="1" showErrorMessage="1" sqref="G924" xr:uid="{6DB4C585-5C63-4574-BEC9-E9A2EFB4F41C}">
      <formula1>INDIRECT($G$923)</formula1>
    </dataValidation>
    <dataValidation type="list" allowBlank="1" showInputMessage="1" showErrorMessage="1" sqref="G73 G439" xr:uid="{2C93DA4E-4C65-4FF6-BA85-6FA5F3F80D61}">
      <formula1>INDIRECT("_"&amp;$G$72)</formula1>
    </dataValidation>
    <dataValidation type="list" allowBlank="1" showInputMessage="1" showErrorMessage="1" sqref="G72" xr:uid="{5E7F30E2-DEB4-4A0B-890C-736D545447BC}">
      <formula1>INDIRECT($G$71)</formula1>
    </dataValidation>
    <dataValidation operator="greaterThanOrEqual" allowBlank="1" showInputMessage="1" showErrorMessage="1" error="2024年3月1日以降の日付を入力ください" sqref="E7" xr:uid="{E2B3B892-E778-4372-8F73-8C326A401D37}"/>
    <dataValidation type="list" allowBlank="1" showInputMessage="1" showErrorMessage="1" sqref="E13" xr:uid="{A7B17EEB-838D-4E72-BF46-2E76481CC535}">
      <formula1>"適用する（確定した決算数値が1期もない事業者のみ選択可能）,適用しない"</formula1>
    </dataValidation>
    <dataValidation type="list" allowBlank="1" showInputMessage="1" showErrorMessage="1" sqref="G942" xr:uid="{C42CFEED-2CA4-4C15-B834-D5D4CD385B5E}">
      <formula1>INDIRECT($G941)</formula1>
    </dataValidation>
    <dataValidation type="list" allowBlank="1" showInputMessage="1" showErrorMessage="1" sqref="E12" xr:uid="{D08B08C7-A998-44FC-8DAB-E08403099EE0}">
      <formula1>$G$12:$P$12</formula1>
    </dataValidation>
    <dataValidation operator="lessThanOrEqual" allowBlank="1" showInputMessage="1" showErrorMessage="1" sqref="E9" xr:uid="{7DDD7C3F-7297-4966-9C96-7746271FAF3E}"/>
    <dataValidation type="date" allowBlank="1" showInputMessage="1" showErrorMessage="1" error="補助事業期間内（2027年12月31日まで）の日付を入力してください" sqref="E10" xr:uid="{5FD0431D-A300-4E89-86C9-5BCFFC964CBA}">
      <formula1>45777</formula1>
      <formula2>46752</formula2>
    </dataValidation>
    <dataValidation imeMode="halfAlpha" allowBlank="1" showInputMessage="1" showErrorMessage="1" sqref="G954:Q954 G44:Q44 G126:Q126 G92:Q92 H68:H69 G162:Q162 G180:Q180 G198:Q198 G216:Q216 G144:Q144 G120:Q123 G16:I25 G234:Q234 G252:Q252 G270:Q270 G288:Q288 G306:Q306 G324:Q324 G342:Q342 G360:Q360 G378:Q378 G396:Q396 G414:Q414 G432:Q432 G450:Q450 G468:Q468 G486:Q486 G504:Q504 G522:Q522 G540:Q540 G558:Q558 G576:Q576 G594:Q594 G612:Q612 G630:Q630 G648:Q648 G666:Q666 G684:Q684 G702:Q702 G720:Q720 G738:Q738 G756:Q756 G774:Q774 G792:Q792 G810:Q810 G828:Q828 G846:Q846 G864:Q864 G882:Q882 G900:Q900 G918:Q918 G936:Q936 G40:Q41 G88:Q89 G930:Q933 G156:Q159 G894:Q897 G876:Q879 G858:Q861 G840:Q843 G822:Q825 G804:Q807 G786:Q789 G768:Q771 G750:Q753 G732:Q735 G714:Q717 G696:Q699 G678:Q681 G660:Q663 G642:Q645 G624:Q627 G606:Q609 G588:Q591 G570:Q573 G552:Q555 G534:Q537 G516:Q519 G498:Q501 G480:Q483 G462:Q465 G444:Q447 G426:Q429 G408:Q411 G390:Q393 G372:Q375 G354:Q357 G336:Q339 G318:Q321 G300:Q303 G282:Q285 G264:Q267 G246:Q249 G228:Q231 G210:Q213 G192:Q195 G174:Q177 G138:Q141 G912:Q915 G95 G81:Q86 G948:Q951 J49:Q50 G49:I52 G33:Q38" xr:uid="{0F50018E-4C0B-4058-8F57-AC639649B7F4}"/>
    <dataValidation type="list" allowBlank="1" showInputMessage="1" showErrorMessage="1" sqref="G65:G67 G70" xr:uid="{780495C4-833F-414D-B9D2-883EBC4E128A}">
      <formula1>"該当,非該当"</formula1>
    </dataValidation>
  </dataValidations>
  <hyperlinks>
    <hyperlink ref="J65" r:id="rId1" display="参考：「地域未来牽引企業」特設サイト" xr:uid="{B5B34F0E-2383-47F4-9FE8-B405B7549B66}"/>
    <hyperlink ref="J66" r:id="rId2" xr:uid="{D254C786-B079-4E5A-9D74-1A32027EE722}"/>
    <hyperlink ref="E117" r:id="rId3" xr:uid="{91F5E907-856B-410B-A385-BB5F8B0032C9}"/>
    <hyperlink ref="E171" r:id="rId4" xr:uid="{6369D52A-9FDD-4B4D-B09F-B8C04581E873}"/>
    <hyperlink ref="R51" r:id="rId5" xr:uid="{D3C16F81-DAF0-4973-8F5C-0B1CA3F925A3}"/>
    <hyperlink ref="R52" r:id="rId6" xr:uid="{95C4FD92-447B-4D28-9517-A015CDE048F5}"/>
    <hyperlink ref="R49" r:id="rId7" xr:uid="{07CF74F9-1E06-4677-ABB1-BCD56F399286}"/>
    <hyperlink ref="R50" r:id="rId8" display="参考：" xr:uid="{ECC05550-6D42-4B0D-8CD0-4EF508D27F83}"/>
    <hyperlink ref="J67" r:id="rId9" display="参考：「地域未来投資促進法」 （METI/経済産業省）" xr:uid="{9B238613-1D00-4934-B963-EE8300DCFCED}"/>
    <hyperlink ref="D75" r:id="rId10" xr:uid="{FCC386A0-2222-47CB-A9AA-063F3D9E3B77}"/>
    <hyperlink ref="E153" r:id="rId11" xr:uid="{A74F36B5-5812-470F-8DB3-5A73195937C3}"/>
    <hyperlink ref="E135" r:id="rId12" xr:uid="{18908FEF-B05A-4B40-BEF7-020AAC7355F2}"/>
    <hyperlink ref="E189" r:id="rId13" xr:uid="{ECBE26F8-D6C0-4462-9E82-D4FA52A04946}"/>
    <hyperlink ref="E207" r:id="rId14" xr:uid="{F81D9902-780F-4087-862D-F3E1519760C3}"/>
    <hyperlink ref="E225" r:id="rId15" xr:uid="{825C426F-3100-4E2B-A92C-02E6DFBB29DB}"/>
    <hyperlink ref="E243" r:id="rId16" xr:uid="{897809D3-B359-40AD-AB70-248E4EF20401}"/>
    <hyperlink ref="E261" r:id="rId17" xr:uid="{6A7D97EA-FE63-4747-ACA8-BDF8CAF3943E}"/>
    <hyperlink ref="E279" r:id="rId18" xr:uid="{D4D979BB-A912-4FA4-9C93-83F19E865A46}"/>
    <hyperlink ref="E297" r:id="rId19" xr:uid="{5ED82BD1-5455-43AC-8B19-F405388090F0}"/>
    <hyperlink ref="E315" r:id="rId20" xr:uid="{48CB2DDA-36B7-4C5B-A67A-EF483EDA8009}"/>
    <hyperlink ref="E333" r:id="rId21" xr:uid="{46BCC24E-44DB-40F4-BA36-ABBD637D1B2F}"/>
    <hyperlink ref="E351" r:id="rId22" xr:uid="{E13F107D-59B1-4E30-AF3E-9D70F569E7E0}"/>
    <hyperlink ref="E369" r:id="rId23" xr:uid="{203F7E95-A492-4481-8464-2B97844F25A4}"/>
    <hyperlink ref="E387" r:id="rId24" xr:uid="{A29A7A79-04CB-4D12-838B-10ABE02EA824}"/>
    <hyperlink ref="E405" r:id="rId25" xr:uid="{EE7CECEE-AB4B-4CD5-886A-5E7843EF8218}"/>
    <hyperlink ref="E423" r:id="rId26" xr:uid="{2A66A2F2-19EB-4773-9DAE-9ACB709EA50E}"/>
    <hyperlink ref="E441" r:id="rId27" xr:uid="{3C280776-80BF-4ABF-BE69-45B5C8D96215}"/>
    <hyperlink ref="E459" r:id="rId28" xr:uid="{0F23FF6E-FD4D-4D4E-B93F-C0A893623350}"/>
    <hyperlink ref="E477" r:id="rId29" xr:uid="{A22B730F-938E-4C61-AB47-B75150DB9E17}"/>
    <hyperlink ref="E495" r:id="rId30" xr:uid="{61341A69-37AD-4331-A028-04058CBD8261}"/>
    <hyperlink ref="E513" r:id="rId31" xr:uid="{C3F1C11D-7C5E-4970-992C-55EB24541BFA}"/>
    <hyperlink ref="E531" r:id="rId32" xr:uid="{4923007D-CEB0-4397-A3F4-0742A17B37C1}"/>
    <hyperlink ref="E549" r:id="rId33" xr:uid="{84DC1147-48B2-4EB4-A66E-3B2D955007E1}"/>
    <hyperlink ref="E567" r:id="rId34" xr:uid="{D4998B73-2EE8-48EE-884D-4E647BFC91B4}"/>
    <hyperlink ref="E585" r:id="rId35" xr:uid="{2C5C004E-3654-4447-BB1A-B723BAA505F6}"/>
    <hyperlink ref="E603" r:id="rId36" xr:uid="{0403725D-6D85-450E-8D78-7394D4426743}"/>
    <hyperlink ref="E621" r:id="rId37" xr:uid="{6B678761-2626-49DD-8C1D-C7F1FDE00C76}"/>
    <hyperlink ref="E639" r:id="rId38" xr:uid="{2805EF4E-839A-4BDF-BF0F-42439770473C}"/>
    <hyperlink ref="E657" r:id="rId39" xr:uid="{6DE851CA-42FA-428A-AEB1-26B95FA62202}"/>
    <hyperlink ref="E675" r:id="rId40" xr:uid="{2309897E-FEFE-4F95-BF91-41A50532361D}"/>
    <hyperlink ref="E693" r:id="rId41" xr:uid="{F71F25C0-E9C9-451F-885A-904053A84856}"/>
    <hyperlink ref="E711" r:id="rId42" xr:uid="{5B5D498E-EDB4-4DDB-A493-0B465DA0D359}"/>
    <hyperlink ref="E729" r:id="rId43" xr:uid="{8FF2FC1F-11E8-49FD-B967-25163FA43588}"/>
    <hyperlink ref="E747" r:id="rId44" xr:uid="{EB180A39-2E80-400B-8E87-BCAB1133746F}"/>
    <hyperlink ref="E765" r:id="rId45" xr:uid="{2C17D63F-E5AC-4381-9F4B-E18B3559F9EC}"/>
    <hyperlink ref="E783" r:id="rId46" xr:uid="{8132F7E5-C2F1-43FD-B3AE-C43C7D12747F}"/>
    <hyperlink ref="E801" r:id="rId47" xr:uid="{F2362874-81A7-4E0C-A3D7-E3C0E8BFA1C7}"/>
    <hyperlink ref="E819" r:id="rId48" xr:uid="{02273E2F-8702-4E19-B458-7812ECA2D5C1}"/>
    <hyperlink ref="E837" r:id="rId49" xr:uid="{8A70D036-1A7D-4670-BC38-69DC42FE04EA}"/>
    <hyperlink ref="E855" r:id="rId50" xr:uid="{0DD2C88C-7799-4F40-A89F-22BAB1F0145C}"/>
    <hyperlink ref="E873" r:id="rId51" xr:uid="{6DA34E77-82DB-400A-811F-970D13516D21}"/>
    <hyperlink ref="E891" r:id="rId52" xr:uid="{D1AE5E1A-8A6C-473E-A9AC-ED43369980F8}"/>
    <hyperlink ref="E909" r:id="rId53" xr:uid="{8060F2B7-0FF7-44B7-9E20-EC9058F3CC86}"/>
    <hyperlink ref="E927" r:id="rId54" xr:uid="{89D0CA37-FB84-4A51-B09F-EEB046D20B09}"/>
    <hyperlink ref="E945" r:id="rId55" xr:uid="{48651FAB-9181-40B5-A33F-89AFBD642B58}"/>
    <hyperlink ref="J68" r:id="rId56" display="https://www.mhlw.go.jp/stf/seisakunitsuite/bunya/kodomo/shokuba_kosodate/kurumin/index.html" xr:uid="{70FFB05A-6D2B-488D-8CB5-9FF1EE7A78C1}"/>
    <hyperlink ref="J69" r:id="rId57" display="https://www.mhlw.go.jp/stf/seisakunitsuite/bunya/0000091025.html" xr:uid="{74F6813D-D988-43F6-9650-287925A27886}"/>
    <hyperlink ref="J70" r:id="rId58" display="参考：「地域企業経営人材マッチング促進事業｜REVICareer（レビキャリ）」" xr:uid="{A378A31C-DF0F-4B62-A6A1-178ADA36DF97}"/>
  </hyperlinks>
  <pageMargins left="0.23622047244094491" right="0.23622047244094491" top="0.74803149606299213" bottom="0.74803149606299213" header="0.31496062992125984" footer="0.31496062992125984"/>
  <pageSetup paperSize="9" scale="35" fitToHeight="0" orientation="portrait" r:id="rId59"/>
  <drawing r:id="rId60"/>
  <extLst>
    <ext xmlns:x14="http://schemas.microsoft.com/office/spreadsheetml/2009/9/main" uri="{CCE6A557-97BC-4b89-ADB6-D9C93CAAB3DF}">
      <x14:dataValidations xmlns:xm="http://schemas.microsoft.com/office/excel/2006/main" count="1">
        <x14:dataValidation type="list" allowBlank="1" showInputMessage="1" showErrorMessage="1" xr:uid="{1579044F-E63E-4723-AAAD-E97EE62ADF1C}">
          <x14:formula1>
            <xm:f>【参考】業種!$F$2:$Y$2</xm:f>
          </x14:formula1>
          <xm:sqref>G71 G923 G905 G887 G869 G815 G833 G617 G851 G797 G779 G761 G743 G707 G689 G599 G725 G635 G671 G653 G581 G527 G563 G545 G509 G455 G491 G437 G473 G419 G401 G383 G365 G347 G329 G311 G293 G275 G257 G239 G221 G203 G185 G149 G131 G113 G941 G167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1F7B9-2A6C-416F-A073-F652F9DEDF40}">
  <sheetPr>
    <tabColor theme="7" tint="0.79998168889431442"/>
  </sheetPr>
  <dimension ref="A1:BM96"/>
  <sheetViews>
    <sheetView workbookViewId="0"/>
  </sheetViews>
  <sheetFormatPr defaultColWidth="9" defaultRowHeight="18"/>
  <cols>
    <col min="1" max="2" width="3.75" style="1" customWidth="1"/>
    <col min="3" max="4" width="18.75" style="1" customWidth="1"/>
    <col min="5" max="5" width="37.33203125" style="1" customWidth="1"/>
    <col min="6" max="9" width="23.58203125" style="1" customWidth="1"/>
    <col min="10" max="10" width="85" style="1" customWidth="1"/>
    <col min="11" max="11" width="3" style="1" customWidth="1"/>
    <col min="12" max="15" width="23.58203125" style="1" customWidth="1"/>
    <col min="16" max="16" width="60" style="1" customWidth="1"/>
    <col min="17" max="17" width="3" style="1" customWidth="1"/>
    <col min="18" max="21" width="23.58203125" style="1" customWidth="1"/>
    <col min="22" max="22" width="60" style="1" customWidth="1"/>
    <col min="23" max="23" width="3" style="1" customWidth="1"/>
    <col min="24" max="27" width="23.58203125" style="1" customWidth="1"/>
    <col min="28" max="28" width="60" style="1" customWidth="1"/>
    <col min="29" max="29" width="3" style="1" customWidth="1"/>
    <col min="30" max="33" width="23.58203125" style="1" customWidth="1"/>
    <col min="34" max="34" width="60" style="1" customWidth="1"/>
    <col min="35" max="35" width="3" style="1" customWidth="1"/>
    <col min="36" max="39" width="23.58203125" style="1" customWidth="1"/>
    <col min="40" max="40" width="60" style="1" customWidth="1"/>
    <col min="41" max="41" width="3" style="1" customWidth="1"/>
    <col min="42" max="45" width="23.58203125" style="1" customWidth="1"/>
    <col min="46" max="46" width="60" style="1" customWidth="1"/>
    <col min="47" max="47" width="3" style="1" customWidth="1"/>
    <col min="48" max="51" width="23.58203125" style="1" customWidth="1"/>
    <col min="52" max="52" width="60" style="1" customWidth="1"/>
    <col min="53" max="53" width="3" style="1" customWidth="1"/>
    <col min="54" max="57" width="23.58203125" style="1" customWidth="1"/>
    <col min="58" max="58" width="60" style="1" customWidth="1"/>
    <col min="59" max="59" width="3" style="1" customWidth="1"/>
    <col min="60" max="63" width="23.58203125" style="1" customWidth="1"/>
    <col min="64" max="64" width="60" style="1" customWidth="1"/>
    <col min="65" max="65" width="3.08203125" style="1" customWidth="1"/>
    <col min="66" max="16384" width="9" style="1"/>
  </cols>
  <sheetData>
    <row r="1" spans="1:65" ht="14.5" customHeight="1">
      <c r="A1" s="113" t="s">
        <v>1144</v>
      </c>
      <c r="D1" s="3"/>
    </row>
    <row r="2" spans="1:65" ht="7.5" customHeight="1">
      <c r="A2" s="42"/>
      <c r="D2" s="3"/>
    </row>
    <row r="3" spans="1:65" ht="22.5">
      <c r="B3" s="74" t="s">
        <v>389</v>
      </c>
    </row>
    <row r="4" spans="1:65" ht="16.149999999999999" customHeight="1">
      <c r="B4" s="135"/>
      <c r="D4" s="3"/>
    </row>
    <row r="5" spans="1:65">
      <c r="C5" s="67" t="s">
        <v>390</v>
      </c>
    </row>
    <row r="6" spans="1:65">
      <c r="C6" s="67" t="s">
        <v>391</v>
      </c>
    </row>
    <row r="7" spans="1:65">
      <c r="C7" s="67" t="s">
        <v>392</v>
      </c>
    </row>
    <row r="8" spans="1:65">
      <c r="C8" s="67" t="s">
        <v>393</v>
      </c>
    </row>
    <row r="9" spans="1:65">
      <c r="C9" s="67" t="s">
        <v>394</v>
      </c>
    </row>
    <row r="10" spans="1:65">
      <c r="C10" s="67" t="s">
        <v>395</v>
      </c>
    </row>
    <row r="11" spans="1:65">
      <c r="C11" s="67"/>
    </row>
    <row r="12" spans="1:65" ht="20">
      <c r="B12" s="18" t="s">
        <v>396</v>
      </c>
      <c r="F12" s="217"/>
      <c r="J12" s="3" t="s">
        <v>397</v>
      </c>
      <c r="L12" s="217" t="e">
        <f>#REF!</f>
        <v>#REF!</v>
      </c>
      <c r="P12" s="3" t="s">
        <v>397</v>
      </c>
      <c r="R12" s="217" t="e">
        <f>#REF!</f>
        <v>#REF!</v>
      </c>
      <c r="V12" s="3" t="s">
        <v>397</v>
      </c>
      <c r="X12" s="217" t="e">
        <f>#REF!</f>
        <v>#REF!</v>
      </c>
      <c r="AB12" s="3" t="s">
        <v>397</v>
      </c>
      <c r="AD12" s="217" t="e">
        <f>#REF!</f>
        <v>#REF!</v>
      </c>
      <c r="AH12" s="3" t="s">
        <v>397</v>
      </c>
      <c r="AJ12" s="290" t="e">
        <f>#REF!</f>
        <v>#REF!</v>
      </c>
      <c r="AN12" s="3" t="s">
        <v>397</v>
      </c>
      <c r="AP12" s="217" t="e">
        <f>#REF!</f>
        <v>#REF!</v>
      </c>
      <c r="AT12" s="3" t="s">
        <v>397</v>
      </c>
      <c r="AV12" s="217" t="e">
        <f>#REF!</f>
        <v>#REF!</v>
      </c>
      <c r="AZ12" s="3" t="s">
        <v>397</v>
      </c>
      <c r="BB12" s="290" t="e">
        <f>#REF!</f>
        <v>#REF!</v>
      </c>
      <c r="BF12" s="3" t="s">
        <v>397</v>
      </c>
      <c r="BH12" s="290" t="e">
        <f>#REF!</f>
        <v>#REF!</v>
      </c>
      <c r="BL12" s="3" t="s">
        <v>397</v>
      </c>
    </row>
    <row r="13" spans="1:65">
      <c r="F13" s="146" t="str">
        <f>"事業者名："&amp;①申請者情報!E17</f>
        <v>事業者名：</v>
      </c>
      <c r="G13" s="147"/>
      <c r="H13" s="147"/>
      <c r="I13" s="336"/>
      <c r="J13" s="148"/>
      <c r="L13" s="149" t="str">
        <f>"事業者名2："&amp;①申請者情報!E44</f>
        <v>事業者名2：</v>
      </c>
      <c r="M13" s="147"/>
      <c r="N13" s="147"/>
      <c r="O13" s="336"/>
      <c r="P13" s="148"/>
      <c r="R13" s="149" t="str">
        <f>"事業者名3："&amp;①申請者情報!E47</f>
        <v>事業者名3：</v>
      </c>
      <c r="S13" s="147"/>
      <c r="T13" s="147"/>
      <c r="U13" s="336"/>
      <c r="V13" s="148"/>
      <c r="X13" s="149" t="str">
        <f>"事業者名4："&amp;①申請者情報!E50</f>
        <v>事業者名4：</v>
      </c>
      <c r="Y13" s="147"/>
      <c r="Z13" s="147"/>
      <c r="AA13" s="336"/>
      <c r="AB13" s="148"/>
      <c r="AD13" s="149" t="str">
        <f>"事業者名5："&amp;①申請者情報!E53</f>
        <v>事業者名5：</v>
      </c>
      <c r="AE13" s="147"/>
      <c r="AF13" s="147"/>
      <c r="AG13" s="336"/>
      <c r="AH13" s="148"/>
      <c r="AJ13" s="149" t="str">
        <f>"事業者名6："&amp;①申請者情報!E56</f>
        <v>事業者名6：</v>
      </c>
      <c r="AK13" s="147"/>
      <c r="AL13" s="147"/>
      <c r="AM13" s="336"/>
      <c r="AN13" s="148"/>
      <c r="AP13" s="149" t="str">
        <f>"事業者名7："&amp;①申請者情報!E59</f>
        <v>事業者名7：</v>
      </c>
      <c r="AQ13" s="147"/>
      <c r="AR13" s="147"/>
      <c r="AS13" s="336"/>
      <c r="AT13" s="148"/>
      <c r="AV13" s="149" t="str">
        <f>"事業者名8："&amp;①申請者情報!E62</f>
        <v>事業者名8：</v>
      </c>
      <c r="AW13" s="147"/>
      <c r="AX13" s="147"/>
      <c r="AY13" s="336"/>
      <c r="AZ13" s="148"/>
      <c r="BB13" s="149" t="str">
        <f>"事業者名9："&amp;①申請者情報!E65</f>
        <v>事業者名9：</v>
      </c>
      <c r="BC13" s="147"/>
      <c r="BD13" s="147"/>
      <c r="BE13" s="336"/>
      <c r="BF13" s="148"/>
      <c r="BH13" s="149" t="str">
        <f>"事業者名10："&amp;①申請者情報!E68</f>
        <v>事業者名10：</v>
      </c>
      <c r="BI13" s="147"/>
      <c r="BJ13" s="147"/>
      <c r="BK13" s="336"/>
      <c r="BL13" s="148"/>
    </row>
    <row r="14" spans="1:65" s="2" customFormat="1" ht="36">
      <c r="C14" s="75" t="s">
        <v>398</v>
      </c>
      <c r="D14" s="76" t="s">
        <v>399</v>
      </c>
      <c r="E14" s="77"/>
      <c r="F14" s="78" t="s">
        <v>400</v>
      </c>
      <c r="G14" s="78" t="s">
        <v>401</v>
      </c>
      <c r="H14" s="78" t="s">
        <v>402</v>
      </c>
      <c r="I14" s="78" t="s">
        <v>403</v>
      </c>
      <c r="J14" s="79" t="s">
        <v>404</v>
      </c>
      <c r="L14" s="80" t="s">
        <v>400</v>
      </c>
      <c r="M14" s="78" t="s">
        <v>401</v>
      </c>
      <c r="N14" s="78" t="s">
        <v>402</v>
      </c>
      <c r="O14" s="337" t="s">
        <v>403</v>
      </c>
      <c r="P14" s="79" t="s">
        <v>404</v>
      </c>
      <c r="R14" s="80" t="s">
        <v>400</v>
      </c>
      <c r="S14" s="78" t="s">
        <v>401</v>
      </c>
      <c r="T14" s="78" t="s">
        <v>402</v>
      </c>
      <c r="U14" s="337" t="s">
        <v>403</v>
      </c>
      <c r="V14" s="79" t="s">
        <v>404</v>
      </c>
      <c r="X14" s="80" t="s">
        <v>400</v>
      </c>
      <c r="Y14" s="78" t="s">
        <v>401</v>
      </c>
      <c r="Z14" s="78" t="s">
        <v>402</v>
      </c>
      <c r="AA14" s="337" t="s">
        <v>403</v>
      </c>
      <c r="AB14" s="79" t="s">
        <v>404</v>
      </c>
      <c r="AD14" s="80" t="s">
        <v>400</v>
      </c>
      <c r="AE14" s="78" t="s">
        <v>401</v>
      </c>
      <c r="AF14" s="78" t="s">
        <v>402</v>
      </c>
      <c r="AG14" s="337" t="s">
        <v>403</v>
      </c>
      <c r="AH14" s="79" t="s">
        <v>404</v>
      </c>
      <c r="AJ14" s="80" t="s">
        <v>400</v>
      </c>
      <c r="AK14" s="78" t="s">
        <v>401</v>
      </c>
      <c r="AL14" s="78" t="s">
        <v>402</v>
      </c>
      <c r="AM14" s="337" t="s">
        <v>403</v>
      </c>
      <c r="AN14" s="79" t="s">
        <v>404</v>
      </c>
      <c r="AP14" s="80" t="s">
        <v>400</v>
      </c>
      <c r="AQ14" s="78" t="s">
        <v>401</v>
      </c>
      <c r="AR14" s="78" t="s">
        <v>402</v>
      </c>
      <c r="AS14" s="337" t="s">
        <v>403</v>
      </c>
      <c r="AT14" s="79" t="s">
        <v>404</v>
      </c>
      <c r="AV14" s="80" t="s">
        <v>400</v>
      </c>
      <c r="AW14" s="78" t="s">
        <v>401</v>
      </c>
      <c r="AX14" s="78" t="s">
        <v>402</v>
      </c>
      <c r="AY14" s="337" t="s">
        <v>403</v>
      </c>
      <c r="AZ14" s="79" t="s">
        <v>404</v>
      </c>
      <c r="BB14" s="80" t="s">
        <v>400</v>
      </c>
      <c r="BC14" s="78" t="s">
        <v>401</v>
      </c>
      <c r="BD14" s="78" t="s">
        <v>402</v>
      </c>
      <c r="BE14" s="337" t="s">
        <v>403</v>
      </c>
      <c r="BF14" s="79" t="s">
        <v>404</v>
      </c>
      <c r="BH14" s="80" t="s">
        <v>400</v>
      </c>
      <c r="BI14" s="78" t="s">
        <v>401</v>
      </c>
      <c r="BJ14" s="78" t="s">
        <v>402</v>
      </c>
      <c r="BK14" s="337" t="s">
        <v>403</v>
      </c>
      <c r="BL14" s="79" t="s">
        <v>404</v>
      </c>
    </row>
    <row r="15" spans="1:65" ht="29.25" customHeight="1">
      <c r="C15" s="81" t="s">
        <v>405</v>
      </c>
      <c r="D15" s="23" t="s">
        <v>406</v>
      </c>
      <c r="E15" s="82" t="s">
        <v>407</v>
      </c>
      <c r="F15" s="106"/>
      <c r="G15" s="106"/>
      <c r="H15" s="106"/>
      <c r="I15" s="139"/>
      <c r="J15" s="107"/>
      <c r="K15" s="1" t="str">
        <f>IFERROR(IF(AND(VALUE(F15)&gt;=VALUE(G15),VALUE(G15)&gt;=VALUE(H15)),"",1),"")</f>
        <v/>
      </c>
      <c r="L15" s="110"/>
      <c r="M15" s="106"/>
      <c r="N15" s="106"/>
      <c r="O15" s="139"/>
      <c r="P15" s="107"/>
      <c r="Q15" s="1" t="str">
        <f>IFERROR(IF(AND(VALUE(L15)&gt;=VALUE(M15),VALUE(M15)&gt;=VALUE(N15)),"",1),"")</f>
        <v/>
      </c>
      <c r="R15" s="110"/>
      <c r="S15" s="106"/>
      <c r="T15" s="106"/>
      <c r="U15" s="139"/>
      <c r="V15" s="107"/>
      <c r="W15" s="1" t="str">
        <f>IFERROR(IF(AND(VALUE(R15)&gt;=VALUE(S15),VALUE(S15)&gt;=VALUE(T15)),"",1),"")</f>
        <v/>
      </c>
      <c r="X15" s="110"/>
      <c r="Y15" s="106"/>
      <c r="Z15" s="106"/>
      <c r="AA15" s="139"/>
      <c r="AB15" s="107"/>
      <c r="AC15" s="1" t="str">
        <f>IFERROR(IF(AND(VALUE(X15)&gt;=VALUE(Y15),VALUE(Y15)&gt;=VALUE(Z15)),"",1),"")</f>
        <v/>
      </c>
      <c r="AD15" s="110"/>
      <c r="AE15" s="106"/>
      <c r="AF15" s="106"/>
      <c r="AG15" s="139"/>
      <c r="AH15" s="107"/>
      <c r="AI15" s="1" t="str">
        <f>IFERROR(IF(AND(VALUE(AD15)&gt;=VALUE(AE15),VALUE(AE15)&gt;=VALUE(AF15)),"",1),"")</f>
        <v/>
      </c>
      <c r="AJ15" s="110"/>
      <c r="AK15" s="106"/>
      <c r="AL15" s="106"/>
      <c r="AM15" s="139"/>
      <c r="AN15" s="107"/>
      <c r="AO15" s="1" t="str">
        <f>IFERROR(IF(AND(VALUE(AJ15)&gt;=VALUE(AK15),VALUE(AK15)&gt;=VALUE(AL15)),"",1),"")</f>
        <v/>
      </c>
      <c r="AP15" s="110"/>
      <c r="AQ15" s="106"/>
      <c r="AR15" s="106"/>
      <c r="AS15" s="139"/>
      <c r="AT15" s="107"/>
      <c r="AU15" s="1" t="str">
        <f>IFERROR(IF(AND(VALUE(AP15)&gt;=VALUE(AQ15),VALUE(AQ15)&gt;=VALUE(AR15)),"",1),"")</f>
        <v/>
      </c>
      <c r="AV15" s="110"/>
      <c r="AW15" s="106"/>
      <c r="AX15" s="106"/>
      <c r="AY15" s="139"/>
      <c r="AZ15" s="107"/>
      <c r="BA15" s="1" t="str">
        <f>IFERROR(IF(AND(VALUE(AV15)&gt;=VALUE(AW15),VALUE(AW15)&gt;=VALUE(AX15)),"",1),"")</f>
        <v/>
      </c>
      <c r="BB15" s="110"/>
      <c r="BC15" s="106"/>
      <c r="BD15" s="106"/>
      <c r="BE15" s="139"/>
      <c r="BF15" s="107"/>
      <c r="BG15" s="1" t="str">
        <f>IFERROR(IF(AND(VALUE(BB15)&gt;=VALUE(BC15),VALUE(BC15)&gt;=VALUE(BD15)),"",1),"")</f>
        <v/>
      </c>
      <c r="BH15" s="110"/>
      <c r="BI15" s="106"/>
      <c r="BJ15" s="106"/>
      <c r="BK15" s="139"/>
      <c r="BL15" s="107"/>
      <c r="BM15" s="1" t="str">
        <f>IFERROR(IF(AND(VALUE(BH15)&gt;=VALUE(BI15),VALUE(BI15)&gt;=VALUE(BJ15)),"",1),"")</f>
        <v/>
      </c>
    </row>
    <row r="16" spans="1:65" ht="29.25" customHeight="1">
      <c r="C16" s="85" t="s">
        <v>405</v>
      </c>
      <c r="D16" s="23" t="s">
        <v>408</v>
      </c>
      <c r="E16" s="82" t="s">
        <v>409</v>
      </c>
      <c r="F16" s="106"/>
      <c r="G16" s="106"/>
      <c r="H16" s="106"/>
      <c r="I16" s="139"/>
      <c r="J16" s="107"/>
      <c r="K16" s="1" t="str">
        <f>IFERROR(IF(AND(VALUE(F16)&gt;=VALUE(G16),VALUE(G16)&gt;=VALUE(H16)),"",1),"")</f>
        <v/>
      </c>
      <c r="L16" s="110"/>
      <c r="M16" s="106"/>
      <c r="N16" s="106"/>
      <c r="O16" s="139"/>
      <c r="P16" s="107"/>
      <c r="Q16" s="1" t="str">
        <f>IFERROR(IF(AND(VALUE(L16)&gt;=VALUE(M16),VALUE(M16)&gt;=VALUE(N16)),"",1),"")</f>
        <v/>
      </c>
      <c r="R16" s="110"/>
      <c r="S16" s="106"/>
      <c r="T16" s="106"/>
      <c r="U16" s="139"/>
      <c r="V16" s="107"/>
      <c r="W16" s="1" t="str">
        <f>IFERROR(IF(AND(VALUE(R16)&gt;=VALUE(S16),VALUE(S16)&gt;=VALUE(T16)),"",1),"")</f>
        <v/>
      </c>
      <c r="X16" s="110"/>
      <c r="Y16" s="106"/>
      <c r="Z16" s="106"/>
      <c r="AA16" s="139"/>
      <c r="AB16" s="107"/>
      <c r="AC16" s="1" t="str">
        <f>IFERROR(IF(AND(VALUE(X16)&gt;=VALUE(Y16),VALUE(Y16)&gt;=VALUE(Z16)),"",1),"")</f>
        <v/>
      </c>
      <c r="AD16" s="110"/>
      <c r="AE16" s="106"/>
      <c r="AF16" s="106"/>
      <c r="AG16" s="139"/>
      <c r="AH16" s="107"/>
      <c r="AI16" s="1" t="str">
        <f>IFERROR(IF(AND(VALUE(AD16)&gt;=VALUE(AE16),VALUE(AE16)&gt;=VALUE(AF16)),"",1),"")</f>
        <v/>
      </c>
      <c r="AJ16" s="110"/>
      <c r="AK16" s="106"/>
      <c r="AL16" s="106"/>
      <c r="AM16" s="139"/>
      <c r="AN16" s="107"/>
      <c r="AO16" s="1" t="str">
        <f>IFERROR(IF(AND(VALUE(AJ16)&gt;=VALUE(AK16),VALUE(AK16)&gt;=VALUE(AL16)),"",1),"")</f>
        <v/>
      </c>
      <c r="AP16" s="110"/>
      <c r="AQ16" s="106"/>
      <c r="AR16" s="106"/>
      <c r="AS16" s="139"/>
      <c r="AT16" s="107"/>
      <c r="AU16" s="1" t="str">
        <f>IFERROR(IF(AND(VALUE(AP16)&gt;=VALUE(AQ16),VALUE(AQ16)&gt;=VALUE(AR16)),"",1),"")</f>
        <v/>
      </c>
      <c r="AV16" s="110"/>
      <c r="AW16" s="106"/>
      <c r="AX16" s="106"/>
      <c r="AY16" s="139"/>
      <c r="AZ16" s="107"/>
      <c r="BA16" s="1" t="str">
        <f>IFERROR(IF(AND(VALUE(AV16)&gt;=VALUE(AW16),VALUE(AW16)&gt;=VALUE(AX16)),"",1),"")</f>
        <v/>
      </c>
      <c r="BB16" s="110"/>
      <c r="BC16" s="106"/>
      <c r="BD16" s="106"/>
      <c r="BE16" s="139"/>
      <c r="BF16" s="107"/>
      <c r="BG16" s="1" t="str">
        <f>IFERROR(IF(AND(VALUE(BB16)&gt;=VALUE(BC16),VALUE(BC16)&gt;=VALUE(BD16)),"",1),"")</f>
        <v/>
      </c>
      <c r="BH16" s="110"/>
      <c r="BI16" s="106"/>
      <c r="BJ16" s="106"/>
      <c r="BK16" s="139"/>
      <c r="BL16" s="107"/>
      <c r="BM16" s="1" t="str">
        <f>IFERROR(IF(AND(VALUE(BH16)&gt;=VALUE(BI16),VALUE(BI16)&gt;=VALUE(BJ16)),"",1),"")</f>
        <v/>
      </c>
    </row>
    <row r="17" spans="3:65" ht="29.25" customHeight="1">
      <c r="C17" s="85" t="s">
        <v>405</v>
      </c>
      <c r="D17" s="23" t="s">
        <v>410</v>
      </c>
      <c r="E17" s="82" t="s">
        <v>411</v>
      </c>
      <c r="F17" s="106"/>
      <c r="G17" s="106"/>
      <c r="H17" s="106"/>
      <c r="I17" s="139"/>
      <c r="J17" s="107"/>
      <c r="K17" s="1" t="str">
        <f>IFERROR(IF(AND(VALUE(F17)&gt;=VALUE(G17),VALUE(G17)&gt;=VALUE(H17)),"",1),"")</f>
        <v/>
      </c>
      <c r="L17" s="110"/>
      <c r="M17" s="106"/>
      <c r="N17" s="106"/>
      <c r="O17" s="139"/>
      <c r="P17" s="107"/>
      <c r="Q17" s="1" t="str">
        <f>IFERROR(IF(AND(VALUE(L17)&gt;=VALUE(M17),VALUE(M17)&gt;=VALUE(N17)),"",1),"")</f>
        <v/>
      </c>
      <c r="R17" s="110"/>
      <c r="S17" s="106"/>
      <c r="T17" s="106"/>
      <c r="U17" s="139"/>
      <c r="V17" s="107"/>
      <c r="W17" s="1" t="str">
        <f>IFERROR(IF(AND(VALUE(R17)&gt;=VALUE(S17),VALUE(S17)&gt;=VALUE(T17)),"",1),"")</f>
        <v/>
      </c>
      <c r="X17" s="110"/>
      <c r="Y17" s="106"/>
      <c r="Z17" s="106"/>
      <c r="AA17" s="139"/>
      <c r="AB17" s="107"/>
      <c r="AC17" s="1" t="str">
        <f>IFERROR(IF(AND(VALUE(X17)&gt;=VALUE(Y17),VALUE(Y17)&gt;=VALUE(Z17)),"",1),"")</f>
        <v/>
      </c>
      <c r="AD17" s="110"/>
      <c r="AE17" s="106"/>
      <c r="AF17" s="106"/>
      <c r="AG17" s="139"/>
      <c r="AH17" s="107"/>
      <c r="AI17" s="1" t="str">
        <f>IFERROR(IF(AND(VALUE(AD17)&gt;=VALUE(AE17),VALUE(AE17)&gt;=VALUE(AF17)),"",1),"")</f>
        <v/>
      </c>
      <c r="AJ17" s="110"/>
      <c r="AK17" s="106"/>
      <c r="AL17" s="106"/>
      <c r="AM17" s="139"/>
      <c r="AN17" s="107"/>
      <c r="AO17" s="1" t="str">
        <f>IFERROR(IF(AND(VALUE(AJ17)&gt;=VALUE(AK17),VALUE(AK17)&gt;=VALUE(AL17)),"",1),"")</f>
        <v/>
      </c>
      <c r="AP17" s="110"/>
      <c r="AQ17" s="106"/>
      <c r="AR17" s="106"/>
      <c r="AS17" s="139"/>
      <c r="AT17" s="107"/>
      <c r="AU17" s="1" t="str">
        <f>IFERROR(IF(AND(VALUE(AP17)&gt;=VALUE(AQ17),VALUE(AQ17)&gt;=VALUE(AR17)),"",1),"")</f>
        <v/>
      </c>
      <c r="AV17" s="110"/>
      <c r="AW17" s="106"/>
      <c r="AX17" s="106"/>
      <c r="AY17" s="139"/>
      <c r="AZ17" s="107"/>
      <c r="BA17" s="1" t="str">
        <f>IFERROR(IF(AND(VALUE(AV17)&gt;=VALUE(AW17),VALUE(AW17)&gt;=VALUE(AX17)),"",1),"")</f>
        <v/>
      </c>
      <c r="BB17" s="110"/>
      <c r="BC17" s="106"/>
      <c r="BD17" s="106"/>
      <c r="BE17" s="139"/>
      <c r="BF17" s="107"/>
      <c r="BG17" s="1" t="str">
        <f>IFERROR(IF(AND(VALUE(BB17)&gt;=VALUE(BC17),VALUE(BC17)&gt;=VALUE(BD17)),"",1),"")</f>
        <v/>
      </c>
      <c r="BH17" s="110"/>
      <c r="BI17" s="106"/>
      <c r="BJ17" s="106"/>
      <c r="BK17" s="139"/>
      <c r="BL17" s="107"/>
      <c r="BM17" s="1" t="str">
        <f>IFERROR(IF(AND(VALUE(BH17)&gt;=VALUE(BI17),VALUE(BI17)&gt;=VALUE(BJ17)),"",1),"")</f>
        <v/>
      </c>
    </row>
    <row r="18" spans="3:65" ht="29.25" customHeight="1">
      <c r="C18" s="86" t="s">
        <v>405</v>
      </c>
      <c r="D18" s="87" t="s">
        <v>412</v>
      </c>
      <c r="E18" s="88" t="s">
        <v>413</v>
      </c>
      <c r="F18" s="13">
        <f>SUM(F15:F17)</f>
        <v>0</v>
      </c>
      <c r="G18" s="13">
        <f>SUM(G15:G17)</f>
        <v>0</v>
      </c>
      <c r="H18" s="13">
        <f>SUM(H15:H17)</f>
        <v>0</v>
      </c>
      <c r="I18" s="13">
        <f>SUM(I15:I17)</f>
        <v>0</v>
      </c>
      <c r="J18" s="89"/>
      <c r="L18" s="90">
        <f>SUM(L15:L17)</f>
        <v>0</v>
      </c>
      <c r="M18" s="13">
        <f>SUM(M15:M17)</f>
        <v>0</v>
      </c>
      <c r="N18" s="13">
        <f>SUM(N15:N17)</f>
        <v>0</v>
      </c>
      <c r="O18" s="13">
        <f>SUM(O15:O17)</f>
        <v>0</v>
      </c>
      <c r="P18" s="89"/>
      <c r="R18" s="90">
        <f>SUM(R15:R17)</f>
        <v>0</v>
      </c>
      <c r="S18" s="13">
        <f>SUM(S15:S17)</f>
        <v>0</v>
      </c>
      <c r="T18" s="13">
        <f>SUM(T15:T17)</f>
        <v>0</v>
      </c>
      <c r="U18" s="13">
        <f>SUM(U15:U17)</f>
        <v>0</v>
      </c>
      <c r="V18" s="89"/>
      <c r="X18" s="90">
        <f>SUM(X15:X17)</f>
        <v>0</v>
      </c>
      <c r="Y18" s="13">
        <f>SUM(Y15:Y17)</f>
        <v>0</v>
      </c>
      <c r="Z18" s="13">
        <f>SUM(Z15:Z17)</f>
        <v>0</v>
      </c>
      <c r="AA18" s="13">
        <f>SUM(AA15:AA17)</f>
        <v>0</v>
      </c>
      <c r="AB18" s="89"/>
      <c r="AD18" s="90">
        <f>SUM(AD15:AD17)</f>
        <v>0</v>
      </c>
      <c r="AE18" s="13">
        <f>SUM(AE15:AE17)</f>
        <v>0</v>
      </c>
      <c r="AF18" s="13">
        <f>SUM(AF15:AF17)</f>
        <v>0</v>
      </c>
      <c r="AG18" s="13">
        <f>SUM(AG15:AG17)</f>
        <v>0</v>
      </c>
      <c r="AH18" s="89"/>
      <c r="AJ18" s="90">
        <f>SUM(AJ15:AJ17)</f>
        <v>0</v>
      </c>
      <c r="AK18" s="13">
        <f>SUM(AK15:AK17)</f>
        <v>0</v>
      </c>
      <c r="AL18" s="13">
        <f>SUM(AL15:AL17)</f>
        <v>0</v>
      </c>
      <c r="AM18" s="13">
        <f>SUM(AM15:AM17)</f>
        <v>0</v>
      </c>
      <c r="AN18" s="89"/>
      <c r="AP18" s="90">
        <f>SUM(AP15:AP17)</f>
        <v>0</v>
      </c>
      <c r="AQ18" s="13">
        <f>SUM(AQ15:AQ17)</f>
        <v>0</v>
      </c>
      <c r="AR18" s="13">
        <f>SUM(AR15:AR17)</f>
        <v>0</v>
      </c>
      <c r="AS18" s="13">
        <f>SUM(AS15:AS17)</f>
        <v>0</v>
      </c>
      <c r="AT18" s="89"/>
      <c r="AV18" s="90">
        <f>SUM(AV15:AV17)</f>
        <v>0</v>
      </c>
      <c r="AW18" s="13">
        <f>SUM(AW15:AW17)</f>
        <v>0</v>
      </c>
      <c r="AX18" s="13">
        <f>SUM(AX15:AX17)</f>
        <v>0</v>
      </c>
      <c r="AY18" s="13">
        <f>SUM(AY15:AY17)</f>
        <v>0</v>
      </c>
      <c r="AZ18" s="89"/>
      <c r="BB18" s="90">
        <f>SUM(BB15:BB17)</f>
        <v>0</v>
      </c>
      <c r="BC18" s="13">
        <f>SUM(BC15:BC17)</f>
        <v>0</v>
      </c>
      <c r="BD18" s="13">
        <f>SUM(BD15:BD17)</f>
        <v>0</v>
      </c>
      <c r="BE18" s="13">
        <f>SUM(BE15:BE17)</f>
        <v>0</v>
      </c>
      <c r="BF18" s="89"/>
      <c r="BH18" s="90">
        <f>SUM(BH15:BH17)</f>
        <v>0</v>
      </c>
      <c r="BI18" s="13">
        <f>SUM(BI15:BI17)</f>
        <v>0</v>
      </c>
      <c r="BJ18" s="13">
        <f>SUM(BJ15:BJ17)</f>
        <v>0</v>
      </c>
      <c r="BK18" s="13">
        <f>SUM(BK15:BK17)</f>
        <v>0</v>
      </c>
      <c r="BL18" s="89"/>
    </row>
    <row r="19" spans="3:65" ht="29.25" customHeight="1">
      <c r="C19" s="81" t="s">
        <v>414</v>
      </c>
      <c r="D19" s="23" t="s">
        <v>406</v>
      </c>
      <c r="E19" s="82" t="s">
        <v>407</v>
      </c>
      <c r="F19" s="106"/>
      <c r="G19" s="106"/>
      <c r="H19" s="106"/>
      <c r="I19" s="139"/>
      <c r="J19" s="107"/>
      <c r="K19" s="1" t="str">
        <f>IFERROR(IF(AND(VALUE(F19)&gt;=VALUE(G19),VALUE(G19)&gt;=VALUE(H19)),"",1),"")</f>
        <v/>
      </c>
      <c r="L19" s="110"/>
      <c r="M19" s="106"/>
      <c r="N19" s="106"/>
      <c r="O19" s="139"/>
      <c r="P19" s="107"/>
      <c r="Q19" s="1" t="str">
        <f>IFERROR(IF(AND(VALUE(L19)&gt;=VALUE(M19),VALUE(M19)&gt;=VALUE(N19)),"",1),"")</f>
        <v/>
      </c>
      <c r="R19" s="110"/>
      <c r="S19" s="106"/>
      <c r="T19" s="106"/>
      <c r="U19" s="106"/>
      <c r="V19" s="107"/>
      <c r="W19" s="1" t="str">
        <f>IFERROR(IF(AND(VALUE(R19)&gt;=VALUE(S19),VALUE(S19)&gt;=VALUE(T19)),"",1),"")</f>
        <v/>
      </c>
      <c r="X19" s="110"/>
      <c r="Y19" s="106"/>
      <c r="Z19" s="106"/>
      <c r="AA19" s="106"/>
      <c r="AB19" s="107"/>
      <c r="AC19" s="1" t="str">
        <f>IFERROR(IF(AND(VALUE(X19)&gt;=VALUE(Y19),VALUE(Y19)&gt;=VALUE(Z19)),"",1),"")</f>
        <v/>
      </c>
      <c r="AD19" s="110"/>
      <c r="AE19" s="106"/>
      <c r="AF19" s="106"/>
      <c r="AG19" s="106"/>
      <c r="AH19" s="107"/>
      <c r="AI19" s="1" t="str">
        <f>IFERROR(IF(AND(VALUE(AD19)&gt;=VALUE(AE19),VALUE(AE19)&gt;=VALUE(AF19)),"",1),"")</f>
        <v/>
      </c>
      <c r="AJ19" s="110"/>
      <c r="AK19" s="106"/>
      <c r="AL19" s="106"/>
      <c r="AM19" s="106"/>
      <c r="AN19" s="107"/>
      <c r="AO19" s="1" t="str">
        <f>IFERROR(IF(AND(VALUE(AJ19)&gt;=VALUE(AK19),VALUE(AK19)&gt;=VALUE(AL19)),"",1),"")</f>
        <v/>
      </c>
      <c r="AP19" s="110"/>
      <c r="AQ19" s="106"/>
      <c r="AR19" s="106"/>
      <c r="AS19" s="106"/>
      <c r="AT19" s="107"/>
      <c r="AU19" s="1" t="str">
        <f>IFERROR(IF(AND(VALUE(AP19)&gt;=VALUE(AQ19),VALUE(AQ19)&gt;=VALUE(AR19)),"",1),"")</f>
        <v/>
      </c>
      <c r="AV19" s="110"/>
      <c r="AW19" s="106"/>
      <c r="AX19" s="106"/>
      <c r="AY19" s="106"/>
      <c r="AZ19" s="107"/>
      <c r="BA19" s="1" t="str">
        <f>IFERROR(IF(AND(VALUE(AV19)&gt;=VALUE(AW19),VALUE(AW19)&gt;=VALUE(AX19)),"",1),"")</f>
        <v/>
      </c>
      <c r="BB19" s="110"/>
      <c r="BC19" s="106"/>
      <c r="BD19" s="106"/>
      <c r="BE19" s="106"/>
      <c r="BF19" s="107"/>
      <c r="BG19" s="1" t="str">
        <f>IFERROR(IF(AND(VALUE(BB19)&gt;=VALUE(BC19),VALUE(BC19)&gt;=VALUE(BD19)),"",1),"")</f>
        <v/>
      </c>
      <c r="BH19" s="110"/>
      <c r="BI19" s="106"/>
      <c r="BJ19" s="106"/>
      <c r="BK19" s="106"/>
      <c r="BL19" s="107"/>
      <c r="BM19" s="1" t="str">
        <f>IFERROR(IF(AND(VALUE(BH19)&gt;=VALUE(BI19),VALUE(BI19)&gt;=VALUE(BJ19)),"",1),"")</f>
        <v/>
      </c>
    </row>
    <row r="20" spans="3:65" ht="29.25" customHeight="1">
      <c r="C20" s="85" t="s">
        <v>414</v>
      </c>
      <c r="D20" s="23" t="s">
        <v>408</v>
      </c>
      <c r="E20" s="82" t="s">
        <v>409</v>
      </c>
      <c r="F20" s="106"/>
      <c r="G20" s="106"/>
      <c r="H20" s="106"/>
      <c r="I20" s="139"/>
      <c r="J20" s="107"/>
      <c r="K20" s="1" t="str">
        <f>IFERROR(IF(AND(VALUE(F20)&gt;=VALUE(G20),VALUE(G20)&gt;=VALUE(H20)),"",1),"")</f>
        <v/>
      </c>
      <c r="L20" s="110"/>
      <c r="M20" s="106"/>
      <c r="N20" s="106"/>
      <c r="O20" s="139"/>
      <c r="P20" s="107"/>
      <c r="Q20" s="1" t="str">
        <f>IFERROR(IF(AND(VALUE(L20)&gt;=VALUE(M20),VALUE(M20)&gt;=VALUE(N20)),"",1),"")</f>
        <v/>
      </c>
      <c r="R20" s="110"/>
      <c r="S20" s="106"/>
      <c r="T20" s="106"/>
      <c r="U20" s="106"/>
      <c r="V20" s="107"/>
      <c r="W20" s="1" t="str">
        <f>IFERROR(IF(AND(VALUE(R20)&gt;=VALUE(S20),VALUE(S20)&gt;=VALUE(T20)),"",1),"")</f>
        <v/>
      </c>
      <c r="X20" s="110"/>
      <c r="Y20" s="106"/>
      <c r="Z20" s="106"/>
      <c r="AA20" s="106"/>
      <c r="AB20" s="107"/>
      <c r="AC20" s="1" t="str">
        <f>IFERROR(IF(AND(VALUE(X20)&gt;=VALUE(Y20),VALUE(Y20)&gt;=VALUE(Z20)),"",1),"")</f>
        <v/>
      </c>
      <c r="AD20" s="110"/>
      <c r="AE20" s="106"/>
      <c r="AF20" s="106"/>
      <c r="AG20" s="106"/>
      <c r="AH20" s="107"/>
      <c r="AI20" s="1" t="str">
        <f>IFERROR(IF(AND(VALUE(AD20)&gt;=VALUE(AE20),VALUE(AE20)&gt;=VALUE(AF20)),"",1),"")</f>
        <v/>
      </c>
      <c r="AJ20" s="110"/>
      <c r="AK20" s="106"/>
      <c r="AL20" s="106"/>
      <c r="AM20" s="106"/>
      <c r="AN20" s="107"/>
      <c r="AO20" s="1" t="str">
        <f>IFERROR(IF(AND(VALUE(AJ20)&gt;=VALUE(AK20),VALUE(AK20)&gt;=VALUE(AL20)),"",1),"")</f>
        <v/>
      </c>
      <c r="AP20" s="110"/>
      <c r="AQ20" s="106"/>
      <c r="AR20" s="106"/>
      <c r="AS20" s="106"/>
      <c r="AT20" s="107"/>
      <c r="AU20" s="1" t="str">
        <f>IFERROR(IF(AND(VALUE(AP20)&gt;=VALUE(AQ20),VALUE(AQ20)&gt;=VALUE(AR20)),"",1),"")</f>
        <v/>
      </c>
      <c r="AV20" s="110"/>
      <c r="AW20" s="106"/>
      <c r="AX20" s="106"/>
      <c r="AY20" s="106"/>
      <c r="AZ20" s="107"/>
      <c r="BA20" s="1" t="str">
        <f>IFERROR(IF(AND(VALUE(AV20)&gt;=VALUE(AW20),VALUE(AW20)&gt;=VALUE(AX20)),"",1),"")</f>
        <v/>
      </c>
      <c r="BB20" s="110"/>
      <c r="BC20" s="106"/>
      <c r="BD20" s="106"/>
      <c r="BE20" s="106"/>
      <c r="BF20" s="107"/>
      <c r="BG20" s="1" t="str">
        <f>IFERROR(IF(AND(VALUE(BB20)&gt;=VALUE(BC20),VALUE(BC20)&gt;=VALUE(BD20)),"",1),"")</f>
        <v/>
      </c>
      <c r="BH20" s="110"/>
      <c r="BI20" s="106"/>
      <c r="BJ20" s="106"/>
      <c r="BK20" s="106"/>
      <c r="BL20" s="107"/>
      <c r="BM20" s="1" t="str">
        <f>IFERROR(IF(AND(VALUE(BH20)&gt;=VALUE(BI20),VALUE(BI20)&gt;=VALUE(BJ20)),"",1),"")</f>
        <v/>
      </c>
    </row>
    <row r="21" spans="3:65" ht="29.25" customHeight="1">
      <c r="C21" s="85" t="s">
        <v>414</v>
      </c>
      <c r="D21" s="23" t="s">
        <v>410</v>
      </c>
      <c r="E21" s="82" t="s">
        <v>411</v>
      </c>
      <c r="F21" s="106"/>
      <c r="G21" s="106"/>
      <c r="H21" s="106"/>
      <c r="I21" s="139"/>
      <c r="J21" s="107"/>
      <c r="K21" s="1" t="str">
        <f>IFERROR(IF(AND(VALUE(F21)&gt;=VALUE(G21),VALUE(G21)&gt;=VALUE(H21)),"",1),"")</f>
        <v/>
      </c>
      <c r="L21" s="110"/>
      <c r="M21" s="106"/>
      <c r="N21" s="106"/>
      <c r="O21" s="139"/>
      <c r="P21" s="107"/>
      <c r="Q21" s="1" t="str">
        <f>IFERROR(IF(AND(VALUE(L21)&gt;=VALUE(M21),VALUE(M21)&gt;=VALUE(N21)),"",1),"")</f>
        <v/>
      </c>
      <c r="R21" s="110"/>
      <c r="S21" s="106"/>
      <c r="T21" s="106"/>
      <c r="U21" s="106"/>
      <c r="V21" s="107"/>
      <c r="W21" s="1" t="str">
        <f>IFERROR(IF(AND(VALUE(R21)&gt;=VALUE(S21),VALUE(S21)&gt;=VALUE(T21)),"",1),"")</f>
        <v/>
      </c>
      <c r="X21" s="110"/>
      <c r="Y21" s="106"/>
      <c r="Z21" s="106"/>
      <c r="AA21" s="106"/>
      <c r="AB21" s="107"/>
      <c r="AC21" s="1" t="str">
        <f>IFERROR(IF(AND(VALUE(X21)&gt;=VALUE(Y21),VALUE(Y21)&gt;=VALUE(Z21)),"",1),"")</f>
        <v/>
      </c>
      <c r="AD21" s="110"/>
      <c r="AE21" s="106"/>
      <c r="AF21" s="106"/>
      <c r="AG21" s="106"/>
      <c r="AH21" s="107"/>
      <c r="AI21" s="1" t="str">
        <f>IFERROR(IF(AND(VALUE(AD21)&gt;=VALUE(AE21),VALUE(AE21)&gt;=VALUE(AF21)),"",1),"")</f>
        <v/>
      </c>
      <c r="AJ21" s="110"/>
      <c r="AK21" s="106"/>
      <c r="AL21" s="106"/>
      <c r="AM21" s="106"/>
      <c r="AN21" s="107"/>
      <c r="AO21" s="1" t="str">
        <f>IFERROR(IF(AND(VALUE(AJ21)&gt;=VALUE(AK21),VALUE(AK21)&gt;=VALUE(AL21)),"",1),"")</f>
        <v/>
      </c>
      <c r="AP21" s="110"/>
      <c r="AQ21" s="106"/>
      <c r="AR21" s="106"/>
      <c r="AS21" s="106"/>
      <c r="AT21" s="107"/>
      <c r="AU21" s="1" t="str">
        <f>IFERROR(IF(AND(VALUE(AP21)&gt;=VALUE(AQ21),VALUE(AQ21)&gt;=VALUE(AR21)),"",1),"")</f>
        <v/>
      </c>
      <c r="AV21" s="110"/>
      <c r="AW21" s="106"/>
      <c r="AX21" s="106"/>
      <c r="AY21" s="106"/>
      <c r="AZ21" s="107"/>
      <c r="BA21" s="1" t="str">
        <f>IFERROR(IF(AND(VALUE(AV21)&gt;=VALUE(AW21),VALUE(AW21)&gt;=VALUE(AX21)),"",1),"")</f>
        <v/>
      </c>
      <c r="BB21" s="110"/>
      <c r="BC21" s="106"/>
      <c r="BD21" s="106"/>
      <c r="BE21" s="106"/>
      <c r="BF21" s="107"/>
      <c r="BG21" s="1" t="str">
        <f>IFERROR(IF(AND(VALUE(BB21)&gt;=VALUE(BC21),VALUE(BC21)&gt;=VALUE(BD21)),"",1),"")</f>
        <v/>
      </c>
      <c r="BH21" s="110"/>
      <c r="BI21" s="106"/>
      <c r="BJ21" s="106"/>
      <c r="BK21" s="106"/>
      <c r="BL21" s="107"/>
      <c r="BM21" s="1" t="str">
        <f>IFERROR(IF(AND(VALUE(BH21)&gt;=VALUE(BI21),VALUE(BI21)&gt;=VALUE(BJ21)),"",1),"")</f>
        <v/>
      </c>
    </row>
    <row r="22" spans="3:65" ht="29.25" customHeight="1">
      <c r="C22" s="86" t="s">
        <v>414</v>
      </c>
      <c r="D22" s="87" t="s">
        <v>412</v>
      </c>
      <c r="E22" s="88" t="s">
        <v>413</v>
      </c>
      <c r="F22" s="13">
        <f t="shared" ref="F22:I22" si="0">SUM(F19:F21)</f>
        <v>0</v>
      </c>
      <c r="G22" s="13">
        <f t="shared" si="0"/>
        <v>0</v>
      </c>
      <c r="H22" s="13">
        <f t="shared" si="0"/>
        <v>0</v>
      </c>
      <c r="I22" s="13">
        <f t="shared" si="0"/>
        <v>0</v>
      </c>
      <c r="J22" s="89"/>
      <c r="L22" s="90">
        <f>SUM(L19:L21)</f>
        <v>0</v>
      </c>
      <c r="M22" s="13">
        <f>SUM(M19:M21)</f>
        <v>0</v>
      </c>
      <c r="N22" s="13">
        <f>SUM(N19:N21)</f>
        <v>0</v>
      </c>
      <c r="O22" s="13">
        <f>SUM(O19:O21)</f>
        <v>0</v>
      </c>
      <c r="P22" s="89"/>
      <c r="R22" s="90">
        <f>SUM(R19:R21)</f>
        <v>0</v>
      </c>
      <c r="S22" s="13">
        <f>SUM(S19:S21)</f>
        <v>0</v>
      </c>
      <c r="T22" s="13">
        <f>SUM(T19:T21)</f>
        <v>0</v>
      </c>
      <c r="U22" s="13">
        <f>SUM(U19:U21)</f>
        <v>0</v>
      </c>
      <c r="V22" s="89"/>
      <c r="X22" s="90">
        <f>SUM(X19:X21)</f>
        <v>0</v>
      </c>
      <c r="Y22" s="13">
        <f>SUM(Y19:Y21)</f>
        <v>0</v>
      </c>
      <c r="Z22" s="13">
        <f>SUM(Z19:Z21)</f>
        <v>0</v>
      </c>
      <c r="AA22" s="13">
        <f>SUM(AA19:AA21)</f>
        <v>0</v>
      </c>
      <c r="AB22" s="89"/>
      <c r="AD22" s="90">
        <f>SUM(AD19:AD21)</f>
        <v>0</v>
      </c>
      <c r="AE22" s="13">
        <f>SUM(AE19:AE21)</f>
        <v>0</v>
      </c>
      <c r="AF22" s="13">
        <f>SUM(AF19:AF21)</f>
        <v>0</v>
      </c>
      <c r="AG22" s="13">
        <f>SUM(AG19:AG21)</f>
        <v>0</v>
      </c>
      <c r="AH22" s="89"/>
      <c r="AJ22" s="90">
        <f>SUM(AJ19:AJ21)</f>
        <v>0</v>
      </c>
      <c r="AK22" s="13">
        <f>SUM(AK19:AK21)</f>
        <v>0</v>
      </c>
      <c r="AL22" s="13">
        <f>SUM(AL19:AL21)</f>
        <v>0</v>
      </c>
      <c r="AM22" s="13">
        <f>SUM(AM19:AM21)</f>
        <v>0</v>
      </c>
      <c r="AN22" s="89"/>
      <c r="AP22" s="90">
        <f>SUM(AP19:AP21)</f>
        <v>0</v>
      </c>
      <c r="AQ22" s="13">
        <f>SUM(AQ19:AQ21)</f>
        <v>0</v>
      </c>
      <c r="AR22" s="13">
        <f>SUM(AR19:AR21)</f>
        <v>0</v>
      </c>
      <c r="AS22" s="13">
        <f>SUM(AS19:AS21)</f>
        <v>0</v>
      </c>
      <c r="AT22" s="89"/>
      <c r="AV22" s="90">
        <f>SUM(AV19:AV21)</f>
        <v>0</v>
      </c>
      <c r="AW22" s="13">
        <f>SUM(AW19:AW21)</f>
        <v>0</v>
      </c>
      <c r="AX22" s="13">
        <f>SUM(AX19:AX21)</f>
        <v>0</v>
      </c>
      <c r="AY22" s="13">
        <f>SUM(AY19:AY21)</f>
        <v>0</v>
      </c>
      <c r="AZ22" s="89"/>
      <c r="BB22" s="90">
        <f>SUM(BB19:BB21)</f>
        <v>0</v>
      </c>
      <c r="BC22" s="13">
        <f>SUM(BC19:BC21)</f>
        <v>0</v>
      </c>
      <c r="BD22" s="13">
        <f>SUM(BD19:BD21)</f>
        <v>0</v>
      </c>
      <c r="BE22" s="13">
        <f>SUM(BE19:BE21)</f>
        <v>0</v>
      </c>
      <c r="BF22" s="89"/>
      <c r="BH22" s="90">
        <f>SUM(BH19:BH21)</f>
        <v>0</v>
      </c>
      <c r="BI22" s="13">
        <f>SUM(BI19:BI21)</f>
        <v>0</v>
      </c>
      <c r="BJ22" s="13">
        <f>SUM(BJ19:BJ21)</f>
        <v>0</v>
      </c>
      <c r="BK22" s="13">
        <f>SUM(BK19:BK21)</f>
        <v>0</v>
      </c>
      <c r="BL22" s="89"/>
    </row>
    <row r="23" spans="3:65" ht="29.25" customHeight="1">
      <c r="C23" s="81" t="s">
        <v>415</v>
      </c>
      <c r="D23" s="23" t="s">
        <v>406</v>
      </c>
      <c r="E23" s="82" t="s">
        <v>407</v>
      </c>
      <c r="F23" s="106"/>
      <c r="G23" s="106"/>
      <c r="H23" s="106"/>
      <c r="I23" s="139"/>
      <c r="J23" s="107"/>
      <c r="K23" s="1" t="str">
        <f>IFERROR(IF(AND(VALUE(F23)&gt;=VALUE(G23),VALUE(G23)&gt;=VALUE(H23)),"",1),"")</f>
        <v/>
      </c>
      <c r="L23" s="110"/>
      <c r="M23" s="106"/>
      <c r="N23" s="106"/>
      <c r="O23" s="139"/>
      <c r="P23" s="107"/>
      <c r="Q23" s="1" t="str">
        <f>IFERROR(IF(AND(VALUE(L23)&gt;=VALUE(M23),VALUE(M23)&gt;=VALUE(N23)),"",1),"")</f>
        <v/>
      </c>
      <c r="R23" s="110"/>
      <c r="S23" s="106"/>
      <c r="T23" s="106"/>
      <c r="U23" s="106"/>
      <c r="V23" s="107"/>
      <c r="W23" s="1" t="str">
        <f>IFERROR(IF(AND(VALUE(R23)&gt;=VALUE(S23),VALUE(S23)&gt;=VALUE(T23)),"",1),"")</f>
        <v/>
      </c>
      <c r="X23" s="110"/>
      <c r="Y23" s="106"/>
      <c r="Z23" s="106"/>
      <c r="AA23" s="106"/>
      <c r="AB23" s="107"/>
      <c r="AC23" s="1" t="str">
        <f>IFERROR(IF(AND(VALUE(X23)&gt;=VALUE(Y23),VALUE(Y23)&gt;=VALUE(Z23)),"",1),"")</f>
        <v/>
      </c>
      <c r="AD23" s="110"/>
      <c r="AE23" s="106"/>
      <c r="AF23" s="106"/>
      <c r="AG23" s="106"/>
      <c r="AH23" s="107"/>
      <c r="AI23" s="1" t="str">
        <f>IFERROR(IF(AND(VALUE(AD23)&gt;=VALUE(AE23),VALUE(AE23)&gt;=VALUE(AF23)),"",1),"")</f>
        <v/>
      </c>
      <c r="AJ23" s="110"/>
      <c r="AK23" s="106"/>
      <c r="AL23" s="106"/>
      <c r="AM23" s="106"/>
      <c r="AN23" s="107"/>
      <c r="AO23" s="1" t="str">
        <f>IFERROR(IF(AND(VALUE(AJ23)&gt;=VALUE(AK23),VALUE(AK23)&gt;=VALUE(AL23)),"",1),"")</f>
        <v/>
      </c>
      <c r="AP23" s="110"/>
      <c r="AQ23" s="106"/>
      <c r="AR23" s="106"/>
      <c r="AS23" s="106"/>
      <c r="AT23" s="107"/>
      <c r="AU23" s="1" t="str">
        <f>IFERROR(IF(AND(VALUE(AP23)&gt;=VALUE(AQ23),VALUE(AQ23)&gt;=VALUE(AR23)),"",1),"")</f>
        <v/>
      </c>
      <c r="AV23" s="110"/>
      <c r="AW23" s="106"/>
      <c r="AX23" s="106"/>
      <c r="AY23" s="106"/>
      <c r="AZ23" s="107"/>
      <c r="BA23" s="1" t="str">
        <f>IFERROR(IF(AND(VALUE(AV23)&gt;=VALUE(AW23),VALUE(AW23)&gt;=VALUE(AX23)),"",1),"")</f>
        <v/>
      </c>
      <c r="BB23" s="110"/>
      <c r="BC23" s="106"/>
      <c r="BD23" s="106"/>
      <c r="BE23" s="106"/>
      <c r="BF23" s="107"/>
      <c r="BG23" s="1" t="str">
        <f>IFERROR(IF(AND(VALUE(BB23)&gt;=VALUE(BC23),VALUE(BC23)&gt;=VALUE(BD23)),"",1),"")</f>
        <v/>
      </c>
      <c r="BH23" s="110"/>
      <c r="BI23" s="106"/>
      <c r="BJ23" s="106"/>
      <c r="BK23" s="106"/>
      <c r="BL23" s="107"/>
      <c r="BM23" s="1" t="str">
        <f>IFERROR(IF(AND(VALUE(BH23)&gt;=VALUE(BI23),VALUE(BI23)&gt;=VALUE(BJ23)),"",1),"")</f>
        <v/>
      </c>
    </row>
    <row r="24" spans="3:65" ht="29.25" customHeight="1">
      <c r="C24" s="85" t="s">
        <v>415</v>
      </c>
      <c r="D24" s="23" t="s">
        <v>408</v>
      </c>
      <c r="E24" s="82" t="s">
        <v>409</v>
      </c>
      <c r="F24" s="106"/>
      <c r="G24" s="106"/>
      <c r="H24" s="106"/>
      <c r="I24" s="139"/>
      <c r="J24" s="107"/>
      <c r="K24" s="1" t="str">
        <f>IFERROR(IF(AND(VALUE(F24)&gt;=VALUE(G24),VALUE(G24)&gt;=VALUE(H24)),"",1),"")</f>
        <v/>
      </c>
      <c r="L24" s="110"/>
      <c r="M24" s="106"/>
      <c r="N24" s="106"/>
      <c r="O24" s="139"/>
      <c r="P24" s="107"/>
      <c r="Q24" s="1" t="str">
        <f>IFERROR(IF(AND(VALUE(L24)&gt;=VALUE(M24),VALUE(M24)&gt;=VALUE(N24)),"",1),"")</f>
        <v/>
      </c>
      <c r="R24" s="110"/>
      <c r="S24" s="106"/>
      <c r="T24" s="106"/>
      <c r="U24" s="106"/>
      <c r="V24" s="107"/>
      <c r="W24" s="1" t="str">
        <f>IFERROR(IF(AND(VALUE(R24)&gt;=VALUE(S24),VALUE(S24)&gt;=VALUE(T24)),"",1),"")</f>
        <v/>
      </c>
      <c r="X24" s="110"/>
      <c r="Y24" s="106"/>
      <c r="Z24" s="106"/>
      <c r="AA24" s="106"/>
      <c r="AB24" s="107"/>
      <c r="AC24" s="1" t="str">
        <f>IFERROR(IF(AND(VALUE(X24)&gt;=VALUE(Y24),VALUE(Y24)&gt;=VALUE(Z24)),"",1),"")</f>
        <v/>
      </c>
      <c r="AD24" s="110"/>
      <c r="AE24" s="106"/>
      <c r="AF24" s="106"/>
      <c r="AG24" s="106"/>
      <c r="AH24" s="107"/>
      <c r="AI24" s="1" t="str">
        <f>IFERROR(IF(AND(VALUE(AD24)&gt;=VALUE(AE24),VALUE(AE24)&gt;=VALUE(AF24)),"",1),"")</f>
        <v/>
      </c>
      <c r="AJ24" s="110"/>
      <c r="AK24" s="106"/>
      <c r="AL24" s="106"/>
      <c r="AM24" s="106"/>
      <c r="AN24" s="107"/>
      <c r="AO24" s="1" t="str">
        <f>IFERROR(IF(AND(VALUE(AJ24)&gt;=VALUE(AK24),VALUE(AK24)&gt;=VALUE(AL24)),"",1),"")</f>
        <v/>
      </c>
      <c r="AP24" s="110"/>
      <c r="AQ24" s="106"/>
      <c r="AR24" s="106"/>
      <c r="AS24" s="106"/>
      <c r="AT24" s="107"/>
      <c r="AU24" s="1" t="str">
        <f>IFERROR(IF(AND(VALUE(AP24)&gt;=VALUE(AQ24),VALUE(AQ24)&gt;=VALUE(AR24)),"",1),"")</f>
        <v/>
      </c>
      <c r="AV24" s="110"/>
      <c r="AW24" s="106"/>
      <c r="AX24" s="106"/>
      <c r="AY24" s="106"/>
      <c r="AZ24" s="107"/>
      <c r="BA24" s="1" t="str">
        <f>IFERROR(IF(AND(VALUE(AV24)&gt;=VALUE(AW24),VALUE(AW24)&gt;=VALUE(AX24)),"",1),"")</f>
        <v/>
      </c>
      <c r="BB24" s="110"/>
      <c r="BC24" s="106"/>
      <c r="BD24" s="106"/>
      <c r="BE24" s="106"/>
      <c r="BF24" s="107"/>
      <c r="BG24" s="1" t="str">
        <f>IFERROR(IF(AND(VALUE(BB24)&gt;=VALUE(BC24),VALUE(BC24)&gt;=VALUE(BD24)),"",1),"")</f>
        <v/>
      </c>
      <c r="BH24" s="110"/>
      <c r="BI24" s="106"/>
      <c r="BJ24" s="106"/>
      <c r="BK24" s="106"/>
      <c r="BL24" s="107"/>
      <c r="BM24" s="1" t="str">
        <f>IFERROR(IF(AND(VALUE(BH24)&gt;=VALUE(BI24),VALUE(BI24)&gt;=VALUE(BJ24)),"",1),"")</f>
        <v/>
      </c>
    </row>
    <row r="25" spans="3:65" ht="29.25" customHeight="1">
      <c r="C25" s="85" t="s">
        <v>415</v>
      </c>
      <c r="D25" s="23" t="s">
        <v>410</v>
      </c>
      <c r="E25" s="82" t="s">
        <v>411</v>
      </c>
      <c r="F25" s="106"/>
      <c r="G25" s="106"/>
      <c r="H25" s="106"/>
      <c r="I25" s="139"/>
      <c r="J25" s="107"/>
      <c r="K25" s="1" t="str">
        <f>IFERROR(IF(AND(VALUE(F25)&gt;=VALUE(G25),VALUE(G25)&gt;=VALUE(H25)),"",1),"")</f>
        <v/>
      </c>
      <c r="L25" s="110"/>
      <c r="M25" s="106"/>
      <c r="N25" s="106"/>
      <c r="O25" s="139"/>
      <c r="P25" s="107"/>
      <c r="Q25" s="1" t="str">
        <f>IFERROR(IF(AND(VALUE(L25)&gt;=VALUE(M25),VALUE(M25)&gt;=VALUE(N25)),"",1),"")</f>
        <v/>
      </c>
      <c r="R25" s="110"/>
      <c r="S25" s="106"/>
      <c r="T25" s="106"/>
      <c r="U25" s="106"/>
      <c r="V25" s="107"/>
      <c r="W25" s="1" t="str">
        <f>IFERROR(IF(AND(VALUE(R25)&gt;=VALUE(S25),VALUE(S25)&gt;=VALUE(T25)),"",1),"")</f>
        <v/>
      </c>
      <c r="X25" s="110"/>
      <c r="Y25" s="106"/>
      <c r="Z25" s="106"/>
      <c r="AA25" s="106"/>
      <c r="AB25" s="107"/>
      <c r="AC25" s="1" t="str">
        <f>IFERROR(IF(AND(VALUE(X25)&gt;=VALUE(Y25),VALUE(Y25)&gt;=VALUE(Z25)),"",1),"")</f>
        <v/>
      </c>
      <c r="AD25" s="110"/>
      <c r="AE25" s="106"/>
      <c r="AF25" s="106"/>
      <c r="AG25" s="106"/>
      <c r="AH25" s="107"/>
      <c r="AI25" s="1" t="str">
        <f>IFERROR(IF(AND(VALUE(AD25)&gt;=VALUE(AE25),VALUE(AE25)&gt;=VALUE(AF25)),"",1),"")</f>
        <v/>
      </c>
      <c r="AJ25" s="110"/>
      <c r="AK25" s="106"/>
      <c r="AL25" s="106"/>
      <c r="AM25" s="106"/>
      <c r="AN25" s="107"/>
      <c r="AO25" s="1" t="str">
        <f>IFERROR(IF(AND(VALUE(AJ25)&gt;=VALUE(AK25),VALUE(AK25)&gt;=VALUE(AL25)),"",1),"")</f>
        <v/>
      </c>
      <c r="AP25" s="110"/>
      <c r="AQ25" s="106"/>
      <c r="AR25" s="106"/>
      <c r="AS25" s="106"/>
      <c r="AT25" s="107"/>
      <c r="AU25" s="1" t="str">
        <f>IFERROR(IF(AND(VALUE(AP25)&gt;=VALUE(AQ25),VALUE(AQ25)&gt;=VALUE(AR25)),"",1),"")</f>
        <v/>
      </c>
      <c r="AV25" s="110"/>
      <c r="AW25" s="106"/>
      <c r="AX25" s="106"/>
      <c r="AY25" s="106"/>
      <c r="AZ25" s="107"/>
      <c r="BA25" s="1" t="str">
        <f>IFERROR(IF(AND(VALUE(AV25)&gt;=VALUE(AW25),VALUE(AW25)&gt;=VALUE(AX25)),"",1),"")</f>
        <v/>
      </c>
      <c r="BB25" s="110"/>
      <c r="BC25" s="106"/>
      <c r="BD25" s="106"/>
      <c r="BE25" s="106"/>
      <c r="BF25" s="107"/>
      <c r="BG25" s="1" t="str">
        <f>IFERROR(IF(AND(VALUE(BB25)&gt;=VALUE(BC25),VALUE(BC25)&gt;=VALUE(BD25)),"",1),"")</f>
        <v/>
      </c>
      <c r="BH25" s="110"/>
      <c r="BI25" s="106"/>
      <c r="BJ25" s="106"/>
      <c r="BK25" s="106"/>
      <c r="BL25" s="107"/>
      <c r="BM25" s="1" t="str">
        <f>IFERROR(IF(AND(VALUE(BH25)&gt;=VALUE(BI25),VALUE(BI25)&gt;=VALUE(BJ25)),"",1),"")</f>
        <v/>
      </c>
    </row>
    <row r="26" spans="3:65" ht="29.25" customHeight="1">
      <c r="C26" s="86" t="s">
        <v>415</v>
      </c>
      <c r="D26" s="87" t="s">
        <v>412</v>
      </c>
      <c r="E26" s="88" t="s">
        <v>413</v>
      </c>
      <c r="F26" s="13">
        <f t="shared" ref="F26:I26" si="1">SUM(F23:F25)</f>
        <v>0</v>
      </c>
      <c r="G26" s="13">
        <f t="shared" si="1"/>
        <v>0</v>
      </c>
      <c r="H26" s="13">
        <f t="shared" si="1"/>
        <v>0</v>
      </c>
      <c r="I26" s="13">
        <f t="shared" si="1"/>
        <v>0</v>
      </c>
      <c r="J26" s="89"/>
      <c r="L26" s="90">
        <f>SUM(L23:L25)</f>
        <v>0</v>
      </c>
      <c r="M26" s="13">
        <f>SUM(M23:M25)</f>
        <v>0</v>
      </c>
      <c r="N26" s="13">
        <f>SUM(N23:N25)</f>
        <v>0</v>
      </c>
      <c r="O26" s="13">
        <f>SUM(O23:O25)</f>
        <v>0</v>
      </c>
      <c r="P26" s="89"/>
      <c r="R26" s="90">
        <f>SUM(R23:R25)</f>
        <v>0</v>
      </c>
      <c r="S26" s="13">
        <f>SUM(S23:S25)</f>
        <v>0</v>
      </c>
      <c r="T26" s="13">
        <f>SUM(T23:T25)</f>
        <v>0</v>
      </c>
      <c r="U26" s="13">
        <f>SUM(U23:U25)</f>
        <v>0</v>
      </c>
      <c r="V26" s="89"/>
      <c r="X26" s="90">
        <f>SUM(X23:X25)</f>
        <v>0</v>
      </c>
      <c r="Y26" s="13">
        <f>SUM(Y23:Y25)</f>
        <v>0</v>
      </c>
      <c r="Z26" s="13">
        <f>SUM(Z23:Z25)</f>
        <v>0</v>
      </c>
      <c r="AA26" s="13">
        <f>SUM(AA23:AA25)</f>
        <v>0</v>
      </c>
      <c r="AB26" s="89"/>
      <c r="AD26" s="90">
        <f>SUM(AD23:AD25)</f>
        <v>0</v>
      </c>
      <c r="AE26" s="13">
        <f>SUM(AE23:AE25)</f>
        <v>0</v>
      </c>
      <c r="AF26" s="13">
        <f>SUM(AF23:AF25)</f>
        <v>0</v>
      </c>
      <c r="AG26" s="13">
        <f>SUM(AG23:AG25)</f>
        <v>0</v>
      </c>
      <c r="AH26" s="89"/>
      <c r="AJ26" s="90">
        <f>SUM(AJ23:AJ25)</f>
        <v>0</v>
      </c>
      <c r="AK26" s="13">
        <f>SUM(AK23:AK25)</f>
        <v>0</v>
      </c>
      <c r="AL26" s="13">
        <f>SUM(AL23:AL25)</f>
        <v>0</v>
      </c>
      <c r="AM26" s="13">
        <f>SUM(AM23:AM25)</f>
        <v>0</v>
      </c>
      <c r="AN26" s="89"/>
      <c r="AP26" s="90">
        <f>SUM(AP23:AP25)</f>
        <v>0</v>
      </c>
      <c r="AQ26" s="13">
        <f>SUM(AQ23:AQ25)</f>
        <v>0</v>
      </c>
      <c r="AR26" s="13">
        <f>SUM(AR23:AR25)</f>
        <v>0</v>
      </c>
      <c r="AS26" s="13">
        <f>SUM(AS23:AS25)</f>
        <v>0</v>
      </c>
      <c r="AT26" s="89"/>
      <c r="AV26" s="90">
        <f>SUM(AV23:AV25)</f>
        <v>0</v>
      </c>
      <c r="AW26" s="13">
        <f>SUM(AW23:AW25)</f>
        <v>0</v>
      </c>
      <c r="AX26" s="13">
        <f>SUM(AX23:AX25)</f>
        <v>0</v>
      </c>
      <c r="AY26" s="13">
        <f>SUM(AY23:AY25)</f>
        <v>0</v>
      </c>
      <c r="AZ26" s="89"/>
      <c r="BB26" s="90">
        <f>SUM(BB23:BB25)</f>
        <v>0</v>
      </c>
      <c r="BC26" s="13">
        <f>SUM(BC23:BC25)</f>
        <v>0</v>
      </c>
      <c r="BD26" s="13">
        <f>SUM(BD23:BD25)</f>
        <v>0</v>
      </c>
      <c r="BE26" s="13">
        <f>SUM(BE23:BE25)</f>
        <v>0</v>
      </c>
      <c r="BF26" s="89"/>
      <c r="BH26" s="90">
        <f>SUM(BH23:BH25)</f>
        <v>0</v>
      </c>
      <c r="BI26" s="13">
        <f>SUM(BI23:BI25)</f>
        <v>0</v>
      </c>
      <c r="BJ26" s="13">
        <f>SUM(BJ23:BJ25)</f>
        <v>0</v>
      </c>
      <c r="BK26" s="13">
        <f>SUM(BK23:BK25)</f>
        <v>0</v>
      </c>
      <c r="BL26" s="89"/>
    </row>
    <row r="27" spans="3:65" ht="29.25" customHeight="1">
      <c r="C27" s="81" t="s">
        <v>416</v>
      </c>
      <c r="D27" s="23" t="s">
        <v>406</v>
      </c>
      <c r="E27" s="82" t="s">
        <v>407</v>
      </c>
      <c r="F27" s="106"/>
      <c r="G27" s="106"/>
      <c r="H27" s="106"/>
      <c r="I27" s="139"/>
      <c r="J27" s="107"/>
      <c r="K27" s="1" t="str">
        <f>IFERROR(IF(AND(VALUE(F27)&gt;=VALUE(G27),VALUE(G27)&gt;=VALUE(H27)),"",1),"")</f>
        <v/>
      </c>
      <c r="L27" s="110"/>
      <c r="M27" s="106"/>
      <c r="N27" s="106"/>
      <c r="O27" s="139"/>
      <c r="P27" s="107"/>
      <c r="Q27" s="1" t="str">
        <f>IFERROR(IF(AND(VALUE(L27)&gt;=VALUE(M27),VALUE(M27)&gt;=VALUE(N27)),"",1),"")</f>
        <v/>
      </c>
      <c r="R27" s="110"/>
      <c r="S27" s="106"/>
      <c r="T27" s="106"/>
      <c r="U27" s="106"/>
      <c r="V27" s="107"/>
      <c r="W27" s="1" t="str">
        <f>IFERROR(IF(AND(VALUE(R27)&gt;=VALUE(S27),VALUE(S27)&gt;=VALUE(T27)),"",1),"")</f>
        <v/>
      </c>
      <c r="X27" s="110"/>
      <c r="Y27" s="106"/>
      <c r="Z27" s="106"/>
      <c r="AA27" s="106"/>
      <c r="AB27" s="107"/>
      <c r="AC27" s="1" t="str">
        <f>IFERROR(IF(AND(VALUE(X27)&gt;=VALUE(Y27),VALUE(Y27)&gt;=VALUE(Z27)),"",1),"")</f>
        <v/>
      </c>
      <c r="AD27" s="110"/>
      <c r="AE27" s="106"/>
      <c r="AF27" s="106"/>
      <c r="AG27" s="106"/>
      <c r="AH27" s="107"/>
      <c r="AI27" s="1" t="str">
        <f>IFERROR(IF(AND(VALUE(AD27)&gt;=VALUE(AE27),VALUE(AE27)&gt;=VALUE(AF27)),"",1),"")</f>
        <v/>
      </c>
      <c r="AJ27" s="110"/>
      <c r="AK27" s="106"/>
      <c r="AL27" s="106"/>
      <c r="AM27" s="106"/>
      <c r="AN27" s="107"/>
      <c r="AO27" s="1" t="str">
        <f>IFERROR(IF(AND(VALUE(AJ27)&gt;=VALUE(AK27),VALUE(AK27)&gt;=VALUE(AL27)),"",1),"")</f>
        <v/>
      </c>
      <c r="AP27" s="110"/>
      <c r="AQ27" s="106"/>
      <c r="AR27" s="106"/>
      <c r="AS27" s="106"/>
      <c r="AT27" s="107"/>
      <c r="AU27" s="1" t="str">
        <f>IFERROR(IF(AND(VALUE(AP27)&gt;=VALUE(AQ27),VALUE(AQ27)&gt;=VALUE(AR27)),"",1),"")</f>
        <v/>
      </c>
      <c r="AV27" s="110"/>
      <c r="AW27" s="106"/>
      <c r="AX27" s="106"/>
      <c r="AY27" s="106"/>
      <c r="AZ27" s="107"/>
      <c r="BA27" s="1" t="str">
        <f>IFERROR(IF(AND(VALUE(AV27)&gt;=VALUE(AW27),VALUE(AW27)&gt;=VALUE(AX27)),"",1),"")</f>
        <v/>
      </c>
      <c r="BB27" s="110"/>
      <c r="BC27" s="106"/>
      <c r="BD27" s="106"/>
      <c r="BE27" s="106"/>
      <c r="BF27" s="107"/>
      <c r="BG27" s="1" t="str">
        <f>IFERROR(IF(AND(VALUE(BB27)&gt;=VALUE(BC27),VALUE(BC27)&gt;=VALUE(BD27)),"",1),"")</f>
        <v/>
      </c>
      <c r="BH27" s="110"/>
      <c r="BI27" s="106"/>
      <c r="BJ27" s="106"/>
      <c r="BK27" s="106"/>
      <c r="BL27" s="107"/>
      <c r="BM27" s="1" t="str">
        <f>IFERROR(IF(AND(VALUE(BH27)&gt;=VALUE(BI27),VALUE(BI27)&gt;=VALUE(BJ27)),"",1),"")</f>
        <v/>
      </c>
    </row>
    <row r="28" spans="3:65" ht="29.25" customHeight="1">
      <c r="C28" s="85" t="s">
        <v>416</v>
      </c>
      <c r="D28" s="23" t="s">
        <v>408</v>
      </c>
      <c r="E28" s="82" t="s">
        <v>409</v>
      </c>
      <c r="F28" s="106"/>
      <c r="G28" s="106"/>
      <c r="H28" s="106"/>
      <c r="I28" s="139"/>
      <c r="J28" s="107"/>
      <c r="K28" s="1" t="str">
        <f>IFERROR(IF(AND(VALUE(F28)&gt;=VALUE(G28),VALUE(G28)&gt;=VALUE(H28)),"",1),"")</f>
        <v/>
      </c>
      <c r="L28" s="110"/>
      <c r="M28" s="106"/>
      <c r="N28" s="106"/>
      <c r="O28" s="139"/>
      <c r="P28" s="107"/>
      <c r="Q28" s="1" t="str">
        <f>IFERROR(IF(AND(VALUE(L28)&gt;=VALUE(M28),VALUE(M28)&gt;=VALUE(N28)),"",1),"")</f>
        <v/>
      </c>
      <c r="R28" s="110"/>
      <c r="S28" s="106"/>
      <c r="T28" s="106"/>
      <c r="U28" s="106"/>
      <c r="V28" s="107"/>
      <c r="W28" s="1" t="str">
        <f>IFERROR(IF(AND(VALUE(R28)&gt;=VALUE(S28),VALUE(S28)&gt;=VALUE(T28)),"",1),"")</f>
        <v/>
      </c>
      <c r="X28" s="110"/>
      <c r="Y28" s="106"/>
      <c r="Z28" s="106"/>
      <c r="AA28" s="106"/>
      <c r="AB28" s="107"/>
      <c r="AC28" s="1" t="str">
        <f>IFERROR(IF(AND(VALUE(X28)&gt;=VALUE(Y28),VALUE(Y28)&gt;=VALUE(Z28)),"",1),"")</f>
        <v/>
      </c>
      <c r="AD28" s="110"/>
      <c r="AE28" s="106"/>
      <c r="AF28" s="106"/>
      <c r="AG28" s="106"/>
      <c r="AH28" s="107"/>
      <c r="AI28" s="1" t="str">
        <f>IFERROR(IF(AND(VALUE(AD28)&gt;=VALUE(AE28),VALUE(AE28)&gt;=VALUE(AF28)),"",1),"")</f>
        <v/>
      </c>
      <c r="AJ28" s="110"/>
      <c r="AK28" s="106"/>
      <c r="AL28" s="106"/>
      <c r="AM28" s="106"/>
      <c r="AN28" s="107"/>
      <c r="AO28" s="1" t="str">
        <f>IFERROR(IF(AND(VALUE(AJ28)&gt;=VALUE(AK28),VALUE(AK28)&gt;=VALUE(AL28)),"",1),"")</f>
        <v/>
      </c>
      <c r="AP28" s="110"/>
      <c r="AQ28" s="106"/>
      <c r="AR28" s="106"/>
      <c r="AS28" s="106"/>
      <c r="AT28" s="107"/>
      <c r="AU28" s="1" t="str">
        <f>IFERROR(IF(AND(VALUE(AP28)&gt;=VALUE(AQ28),VALUE(AQ28)&gt;=VALUE(AR28)),"",1),"")</f>
        <v/>
      </c>
      <c r="AV28" s="110"/>
      <c r="AW28" s="106"/>
      <c r="AX28" s="106"/>
      <c r="AY28" s="106"/>
      <c r="AZ28" s="107"/>
      <c r="BA28" s="1" t="str">
        <f>IFERROR(IF(AND(VALUE(AV28)&gt;=VALUE(AW28),VALUE(AW28)&gt;=VALUE(AX28)),"",1),"")</f>
        <v/>
      </c>
      <c r="BB28" s="110"/>
      <c r="BC28" s="106"/>
      <c r="BD28" s="106"/>
      <c r="BE28" s="106"/>
      <c r="BF28" s="107"/>
      <c r="BG28" s="1" t="str">
        <f>IFERROR(IF(AND(VALUE(BB28)&gt;=VALUE(BC28),VALUE(BC28)&gt;=VALUE(BD28)),"",1),"")</f>
        <v/>
      </c>
      <c r="BH28" s="110"/>
      <c r="BI28" s="106"/>
      <c r="BJ28" s="106"/>
      <c r="BK28" s="106"/>
      <c r="BL28" s="107"/>
      <c r="BM28" s="1" t="str">
        <f>IFERROR(IF(AND(VALUE(BH28)&gt;=VALUE(BI28),VALUE(BI28)&gt;=VALUE(BJ28)),"",1),"")</f>
        <v/>
      </c>
    </row>
    <row r="29" spans="3:65" ht="29.25" customHeight="1">
      <c r="C29" s="85" t="s">
        <v>416</v>
      </c>
      <c r="D29" s="23" t="s">
        <v>410</v>
      </c>
      <c r="E29" s="82" t="s">
        <v>411</v>
      </c>
      <c r="F29" s="106"/>
      <c r="G29" s="106"/>
      <c r="H29" s="106"/>
      <c r="I29" s="139"/>
      <c r="J29" s="107"/>
      <c r="K29" s="1" t="str">
        <f>IFERROR(IF(AND(VALUE(F29)&gt;=VALUE(G29),VALUE(G29)&gt;=VALUE(H29)),"",1),"")</f>
        <v/>
      </c>
      <c r="L29" s="110"/>
      <c r="M29" s="106"/>
      <c r="N29" s="106"/>
      <c r="O29" s="139"/>
      <c r="P29" s="107"/>
      <c r="Q29" s="1" t="str">
        <f>IFERROR(IF(AND(VALUE(L29)&gt;=VALUE(M29),VALUE(M29)&gt;=VALUE(N29)),"",1),"")</f>
        <v/>
      </c>
      <c r="R29" s="110"/>
      <c r="S29" s="106"/>
      <c r="T29" s="106"/>
      <c r="U29" s="106"/>
      <c r="V29" s="107"/>
      <c r="W29" s="1" t="str">
        <f>IFERROR(IF(AND(VALUE(R29)&gt;=VALUE(S29),VALUE(S29)&gt;=VALUE(T29)),"",1),"")</f>
        <v/>
      </c>
      <c r="X29" s="110"/>
      <c r="Y29" s="106"/>
      <c r="Z29" s="106"/>
      <c r="AA29" s="106"/>
      <c r="AB29" s="107"/>
      <c r="AC29" s="1" t="str">
        <f>IFERROR(IF(AND(VALUE(X29)&gt;=VALUE(Y29),VALUE(Y29)&gt;=VALUE(Z29)),"",1),"")</f>
        <v/>
      </c>
      <c r="AD29" s="110"/>
      <c r="AE29" s="106"/>
      <c r="AF29" s="106"/>
      <c r="AG29" s="106"/>
      <c r="AH29" s="107"/>
      <c r="AI29" s="1" t="str">
        <f>IFERROR(IF(AND(VALUE(AD29)&gt;=VALUE(AE29),VALUE(AE29)&gt;=VALUE(AF29)),"",1),"")</f>
        <v/>
      </c>
      <c r="AJ29" s="110"/>
      <c r="AK29" s="106"/>
      <c r="AL29" s="106"/>
      <c r="AM29" s="106"/>
      <c r="AN29" s="107"/>
      <c r="AO29" s="1" t="str">
        <f>IFERROR(IF(AND(VALUE(AJ29)&gt;=VALUE(AK29),VALUE(AK29)&gt;=VALUE(AL29)),"",1),"")</f>
        <v/>
      </c>
      <c r="AP29" s="110"/>
      <c r="AQ29" s="106"/>
      <c r="AR29" s="106"/>
      <c r="AS29" s="106"/>
      <c r="AT29" s="107"/>
      <c r="AU29" s="1" t="str">
        <f>IFERROR(IF(AND(VALUE(AP29)&gt;=VALUE(AQ29),VALUE(AQ29)&gt;=VALUE(AR29)),"",1),"")</f>
        <v/>
      </c>
      <c r="AV29" s="110"/>
      <c r="AW29" s="106"/>
      <c r="AX29" s="106"/>
      <c r="AY29" s="106"/>
      <c r="AZ29" s="107"/>
      <c r="BA29" s="1" t="str">
        <f>IFERROR(IF(AND(VALUE(AV29)&gt;=VALUE(AW29),VALUE(AW29)&gt;=VALUE(AX29)),"",1),"")</f>
        <v/>
      </c>
      <c r="BB29" s="110"/>
      <c r="BC29" s="106"/>
      <c r="BD29" s="106"/>
      <c r="BE29" s="106"/>
      <c r="BF29" s="107"/>
      <c r="BG29" s="1" t="str">
        <f>IFERROR(IF(AND(VALUE(BB29)&gt;=VALUE(BC29),VALUE(BC29)&gt;=VALUE(BD29)),"",1),"")</f>
        <v/>
      </c>
      <c r="BH29" s="110"/>
      <c r="BI29" s="106"/>
      <c r="BJ29" s="106"/>
      <c r="BK29" s="106"/>
      <c r="BL29" s="107"/>
      <c r="BM29" s="1" t="str">
        <f>IFERROR(IF(AND(VALUE(BH29)&gt;=VALUE(BI29),VALUE(BI29)&gt;=VALUE(BJ29)),"",1),"")</f>
        <v/>
      </c>
    </row>
    <row r="30" spans="3:65" ht="29.25" customHeight="1">
      <c r="C30" s="86" t="s">
        <v>416</v>
      </c>
      <c r="D30" s="87" t="s">
        <v>412</v>
      </c>
      <c r="E30" s="88" t="s">
        <v>413</v>
      </c>
      <c r="F30" s="13">
        <f t="shared" ref="F30:I30" si="2">SUM(F27:F29)</f>
        <v>0</v>
      </c>
      <c r="G30" s="13">
        <f t="shared" si="2"/>
        <v>0</v>
      </c>
      <c r="H30" s="13">
        <f t="shared" si="2"/>
        <v>0</v>
      </c>
      <c r="I30" s="13">
        <f t="shared" si="2"/>
        <v>0</v>
      </c>
      <c r="J30" s="89"/>
      <c r="L30" s="90">
        <f>SUM(L27:L29)</f>
        <v>0</v>
      </c>
      <c r="M30" s="13">
        <f>SUM(M27:M29)</f>
        <v>0</v>
      </c>
      <c r="N30" s="13">
        <f>SUM(N27:N29)</f>
        <v>0</v>
      </c>
      <c r="O30" s="13">
        <f>SUM(O27:O29)</f>
        <v>0</v>
      </c>
      <c r="P30" s="89"/>
      <c r="R30" s="90">
        <f>SUM(R27:R29)</f>
        <v>0</v>
      </c>
      <c r="S30" s="13">
        <f>SUM(S27:S29)</f>
        <v>0</v>
      </c>
      <c r="T30" s="13">
        <f>SUM(T27:T29)</f>
        <v>0</v>
      </c>
      <c r="U30" s="13">
        <f>SUM(U27:U29)</f>
        <v>0</v>
      </c>
      <c r="V30" s="89"/>
      <c r="X30" s="90">
        <f>SUM(X27:X29)</f>
        <v>0</v>
      </c>
      <c r="Y30" s="13">
        <f>SUM(Y27:Y29)</f>
        <v>0</v>
      </c>
      <c r="Z30" s="13">
        <f>SUM(Z27:Z29)</f>
        <v>0</v>
      </c>
      <c r="AA30" s="13">
        <f>SUM(AA27:AA29)</f>
        <v>0</v>
      </c>
      <c r="AB30" s="89"/>
      <c r="AD30" s="90">
        <f>SUM(AD27:AD29)</f>
        <v>0</v>
      </c>
      <c r="AE30" s="13">
        <f>SUM(AE27:AE29)</f>
        <v>0</v>
      </c>
      <c r="AF30" s="13">
        <f>SUM(AF27:AF29)</f>
        <v>0</v>
      </c>
      <c r="AG30" s="13">
        <f>SUM(AG27:AG29)</f>
        <v>0</v>
      </c>
      <c r="AH30" s="89"/>
      <c r="AJ30" s="90">
        <f>SUM(AJ27:AJ29)</f>
        <v>0</v>
      </c>
      <c r="AK30" s="13">
        <f>SUM(AK27:AK29)</f>
        <v>0</v>
      </c>
      <c r="AL30" s="13">
        <f>SUM(AL27:AL29)</f>
        <v>0</v>
      </c>
      <c r="AM30" s="13">
        <f>SUM(AM27:AM29)</f>
        <v>0</v>
      </c>
      <c r="AN30" s="89"/>
      <c r="AP30" s="90">
        <f>SUM(AP27:AP29)</f>
        <v>0</v>
      </c>
      <c r="AQ30" s="13">
        <f>SUM(AQ27:AQ29)</f>
        <v>0</v>
      </c>
      <c r="AR30" s="13">
        <f>SUM(AR27:AR29)</f>
        <v>0</v>
      </c>
      <c r="AS30" s="13">
        <f>SUM(AS27:AS29)</f>
        <v>0</v>
      </c>
      <c r="AT30" s="89"/>
      <c r="AV30" s="90">
        <f>SUM(AV27:AV29)</f>
        <v>0</v>
      </c>
      <c r="AW30" s="13">
        <f>SUM(AW27:AW29)</f>
        <v>0</v>
      </c>
      <c r="AX30" s="13">
        <f>SUM(AX27:AX29)</f>
        <v>0</v>
      </c>
      <c r="AY30" s="13">
        <f>SUM(AY27:AY29)</f>
        <v>0</v>
      </c>
      <c r="AZ30" s="89"/>
      <c r="BB30" s="90">
        <f>SUM(BB27:BB29)</f>
        <v>0</v>
      </c>
      <c r="BC30" s="13">
        <f>SUM(BC27:BC29)</f>
        <v>0</v>
      </c>
      <c r="BD30" s="13">
        <f>SUM(BD27:BD29)</f>
        <v>0</v>
      </c>
      <c r="BE30" s="13">
        <f>SUM(BE27:BE29)</f>
        <v>0</v>
      </c>
      <c r="BF30" s="89"/>
      <c r="BH30" s="90">
        <f>SUM(BH27:BH29)</f>
        <v>0</v>
      </c>
      <c r="BI30" s="13">
        <f>SUM(BI27:BI29)</f>
        <v>0</v>
      </c>
      <c r="BJ30" s="13">
        <f>SUM(BJ27:BJ29)</f>
        <v>0</v>
      </c>
      <c r="BK30" s="13">
        <f>SUM(BK27:BK29)</f>
        <v>0</v>
      </c>
      <c r="BL30" s="89"/>
    </row>
    <row r="31" spans="3:65" ht="29.25" customHeight="1">
      <c r="C31" s="81" t="s">
        <v>417</v>
      </c>
      <c r="D31" s="23" t="s">
        <v>406</v>
      </c>
      <c r="E31" s="82" t="s">
        <v>407</v>
      </c>
      <c r="F31" s="108"/>
      <c r="G31" s="108"/>
      <c r="H31" s="108"/>
      <c r="I31" s="338"/>
      <c r="J31" s="109"/>
      <c r="K31" s="1" t="str">
        <f>IFERROR(IF(AND(VALUE(F31)&gt;=VALUE(G31),VALUE(G31)&gt;=VALUE(H31)),"",1),"")</f>
        <v/>
      </c>
      <c r="L31" s="111"/>
      <c r="M31" s="108"/>
      <c r="N31" s="108"/>
      <c r="O31" s="338"/>
      <c r="P31" s="109"/>
      <c r="Q31" s="1" t="str">
        <f>IFERROR(IF(AND(VALUE(L31)&gt;=VALUE(M31),VALUE(M31)&gt;=VALUE(N31)),"",1),"")</f>
        <v/>
      </c>
      <c r="R31" s="111"/>
      <c r="S31" s="108"/>
      <c r="T31" s="108"/>
      <c r="U31" s="108"/>
      <c r="V31" s="109"/>
      <c r="W31" s="1" t="str">
        <f>IFERROR(IF(AND(VALUE(R31)&gt;=VALUE(S31),VALUE(S31)&gt;=VALUE(T31)),"",1),"")</f>
        <v/>
      </c>
      <c r="X31" s="111"/>
      <c r="Y31" s="108"/>
      <c r="Z31" s="108"/>
      <c r="AA31" s="108"/>
      <c r="AB31" s="109"/>
      <c r="AC31" s="1" t="str">
        <f>IFERROR(IF(AND(VALUE(X31)&gt;=VALUE(Y31),VALUE(Y31)&gt;=VALUE(Z31)),"",1),"")</f>
        <v/>
      </c>
      <c r="AD31" s="111"/>
      <c r="AE31" s="108"/>
      <c r="AF31" s="108"/>
      <c r="AG31" s="108"/>
      <c r="AH31" s="109"/>
      <c r="AI31" s="1" t="str">
        <f>IFERROR(IF(AND(VALUE(AD31)&gt;=VALUE(AE31),VALUE(AE31)&gt;=VALUE(AF31)),"",1),"")</f>
        <v/>
      </c>
      <c r="AJ31" s="111"/>
      <c r="AK31" s="108"/>
      <c r="AL31" s="108"/>
      <c r="AM31" s="108"/>
      <c r="AN31" s="109"/>
      <c r="AO31" s="1" t="str">
        <f>IFERROR(IF(AND(VALUE(AJ31)&gt;=VALUE(AK31),VALUE(AK31)&gt;=VALUE(AL31)),"",1),"")</f>
        <v/>
      </c>
      <c r="AP31" s="111"/>
      <c r="AQ31" s="108"/>
      <c r="AR31" s="108"/>
      <c r="AS31" s="108"/>
      <c r="AT31" s="109"/>
      <c r="AU31" s="1" t="str">
        <f>IFERROR(IF(AND(VALUE(AP31)&gt;=VALUE(AQ31),VALUE(AQ31)&gt;=VALUE(AR31)),"",1),"")</f>
        <v/>
      </c>
      <c r="AV31" s="111"/>
      <c r="AW31" s="108"/>
      <c r="AX31" s="108"/>
      <c r="AY31" s="108"/>
      <c r="AZ31" s="109"/>
      <c r="BA31" s="1" t="str">
        <f>IFERROR(IF(AND(VALUE(AV31)&gt;=VALUE(AW31),VALUE(AW31)&gt;=VALUE(AX31)),"",1),"")</f>
        <v/>
      </c>
      <c r="BB31" s="111"/>
      <c r="BC31" s="108"/>
      <c r="BD31" s="108"/>
      <c r="BE31" s="108"/>
      <c r="BF31" s="109"/>
      <c r="BG31" s="1" t="str">
        <f>IFERROR(IF(AND(VALUE(BB31)&gt;=VALUE(BC31),VALUE(BC31)&gt;=VALUE(BD31)),"",1),"")</f>
        <v/>
      </c>
      <c r="BH31" s="111"/>
      <c r="BI31" s="108"/>
      <c r="BJ31" s="108"/>
      <c r="BK31" s="108"/>
      <c r="BL31" s="109"/>
      <c r="BM31" s="1" t="str">
        <f>IFERROR(IF(AND(VALUE(BH31)&gt;=VALUE(BI31),VALUE(BI31)&gt;=VALUE(BJ31)),"",1),"")</f>
        <v/>
      </c>
    </row>
    <row r="32" spans="3:65" ht="29.25" customHeight="1">
      <c r="C32" s="85" t="s">
        <v>417</v>
      </c>
      <c r="D32" s="23" t="s">
        <v>408</v>
      </c>
      <c r="E32" s="82" t="s">
        <v>409</v>
      </c>
      <c r="F32" s="106"/>
      <c r="G32" s="106"/>
      <c r="H32" s="106"/>
      <c r="I32" s="139"/>
      <c r="J32" s="107"/>
      <c r="K32" s="1" t="str">
        <f>IFERROR(IF(AND(VALUE(F32)&gt;=VALUE(G32),VALUE(G32)&gt;=VALUE(H32)),"",1),"")</f>
        <v/>
      </c>
      <c r="L32" s="110"/>
      <c r="M32" s="106"/>
      <c r="N32" s="106"/>
      <c r="O32" s="139"/>
      <c r="P32" s="107"/>
      <c r="Q32" s="1" t="str">
        <f>IFERROR(IF(AND(VALUE(L32)&gt;=VALUE(M32),VALUE(M32)&gt;=VALUE(N32)),"",1),"")</f>
        <v/>
      </c>
      <c r="R32" s="110"/>
      <c r="S32" s="106"/>
      <c r="T32" s="106"/>
      <c r="U32" s="106"/>
      <c r="V32" s="107"/>
      <c r="W32" s="1" t="str">
        <f>IFERROR(IF(AND(VALUE(R32)&gt;=VALUE(S32),VALUE(S32)&gt;=VALUE(T32)),"",1),"")</f>
        <v/>
      </c>
      <c r="X32" s="110"/>
      <c r="Y32" s="106"/>
      <c r="Z32" s="106"/>
      <c r="AA32" s="106"/>
      <c r="AB32" s="107"/>
      <c r="AC32" s="1" t="str">
        <f>IFERROR(IF(AND(VALUE(X32)&gt;=VALUE(Y32),VALUE(Y32)&gt;=VALUE(Z32)),"",1),"")</f>
        <v/>
      </c>
      <c r="AD32" s="110"/>
      <c r="AE32" s="106"/>
      <c r="AF32" s="106"/>
      <c r="AG32" s="106"/>
      <c r="AH32" s="107"/>
      <c r="AI32" s="1" t="str">
        <f>IFERROR(IF(AND(VALUE(AD32)&gt;=VALUE(AE32),VALUE(AE32)&gt;=VALUE(AF32)),"",1),"")</f>
        <v/>
      </c>
      <c r="AJ32" s="110"/>
      <c r="AK32" s="106"/>
      <c r="AL32" s="106"/>
      <c r="AM32" s="106"/>
      <c r="AN32" s="107"/>
      <c r="AO32" s="1" t="str">
        <f>IFERROR(IF(AND(VALUE(AJ32)&gt;=VALUE(AK32),VALUE(AK32)&gt;=VALUE(AL32)),"",1),"")</f>
        <v/>
      </c>
      <c r="AP32" s="110"/>
      <c r="AQ32" s="106"/>
      <c r="AR32" s="106"/>
      <c r="AS32" s="106"/>
      <c r="AT32" s="107"/>
      <c r="AU32" s="1" t="str">
        <f>IFERROR(IF(AND(VALUE(AP32)&gt;=VALUE(AQ32),VALUE(AQ32)&gt;=VALUE(AR32)),"",1),"")</f>
        <v/>
      </c>
      <c r="AV32" s="110"/>
      <c r="AW32" s="106"/>
      <c r="AX32" s="106"/>
      <c r="AY32" s="106"/>
      <c r="AZ32" s="107"/>
      <c r="BA32" s="1" t="str">
        <f>IFERROR(IF(AND(VALUE(AV32)&gt;=VALUE(AW32),VALUE(AW32)&gt;=VALUE(AX32)),"",1),"")</f>
        <v/>
      </c>
      <c r="BB32" s="110"/>
      <c r="BC32" s="106"/>
      <c r="BD32" s="106"/>
      <c r="BE32" s="106"/>
      <c r="BF32" s="107"/>
      <c r="BG32" s="1" t="str">
        <f>IFERROR(IF(AND(VALUE(BB32)&gt;=VALUE(BC32),VALUE(BC32)&gt;=VALUE(BD32)),"",1),"")</f>
        <v/>
      </c>
      <c r="BH32" s="110"/>
      <c r="BI32" s="106"/>
      <c r="BJ32" s="106"/>
      <c r="BK32" s="106"/>
      <c r="BL32" s="107"/>
      <c r="BM32" s="1" t="str">
        <f>IFERROR(IF(AND(VALUE(BH32)&gt;=VALUE(BI32),VALUE(BI32)&gt;=VALUE(BJ32)),"",1),"")</f>
        <v/>
      </c>
    </row>
    <row r="33" spans="2:65" ht="29.25" customHeight="1">
      <c r="C33" s="85" t="s">
        <v>417</v>
      </c>
      <c r="D33" s="23" t="s">
        <v>410</v>
      </c>
      <c r="E33" s="82" t="s">
        <v>411</v>
      </c>
      <c r="F33" s="106"/>
      <c r="G33" s="106"/>
      <c r="H33" s="106"/>
      <c r="I33" s="139"/>
      <c r="J33" s="107"/>
      <c r="K33" s="1" t="str">
        <f>IFERROR(IF(AND(VALUE(F33)&gt;=VALUE(G33),VALUE(G33)&gt;=VALUE(H33)),"",1),"")</f>
        <v/>
      </c>
      <c r="L33" s="110"/>
      <c r="M33" s="106"/>
      <c r="N33" s="106"/>
      <c r="O33" s="139"/>
      <c r="P33" s="107"/>
      <c r="Q33" s="1" t="str">
        <f>IFERROR(IF(AND(VALUE(L33)&gt;=VALUE(M33),VALUE(M33)&gt;=VALUE(N33)),"",1),"")</f>
        <v/>
      </c>
      <c r="R33" s="110"/>
      <c r="S33" s="106"/>
      <c r="T33" s="106"/>
      <c r="U33" s="106"/>
      <c r="V33" s="107"/>
      <c r="W33" s="1" t="str">
        <f>IFERROR(IF(AND(VALUE(R33)&gt;=VALUE(S33),VALUE(S33)&gt;=VALUE(T33)),"",1),"")</f>
        <v/>
      </c>
      <c r="X33" s="110"/>
      <c r="Y33" s="106"/>
      <c r="Z33" s="106"/>
      <c r="AA33" s="106"/>
      <c r="AB33" s="107"/>
      <c r="AC33" s="1" t="str">
        <f>IFERROR(IF(AND(VALUE(X33)&gt;=VALUE(Y33),VALUE(Y33)&gt;=VALUE(Z33)),"",1),"")</f>
        <v/>
      </c>
      <c r="AD33" s="110"/>
      <c r="AE33" s="106"/>
      <c r="AF33" s="106"/>
      <c r="AG33" s="106"/>
      <c r="AH33" s="107"/>
      <c r="AI33" s="1" t="str">
        <f>IFERROR(IF(AND(VALUE(AD33)&gt;=VALUE(AE33),VALUE(AE33)&gt;=VALUE(AF33)),"",1),"")</f>
        <v/>
      </c>
      <c r="AJ33" s="110"/>
      <c r="AK33" s="106"/>
      <c r="AL33" s="106"/>
      <c r="AM33" s="106"/>
      <c r="AN33" s="107"/>
      <c r="AO33" s="1" t="str">
        <f>IFERROR(IF(AND(VALUE(AJ33)&gt;=VALUE(AK33),VALUE(AK33)&gt;=VALUE(AL33)),"",1),"")</f>
        <v/>
      </c>
      <c r="AP33" s="110"/>
      <c r="AQ33" s="106"/>
      <c r="AR33" s="106"/>
      <c r="AS33" s="106"/>
      <c r="AT33" s="107"/>
      <c r="AU33" s="1" t="str">
        <f>IFERROR(IF(AND(VALUE(AP33)&gt;=VALUE(AQ33),VALUE(AQ33)&gt;=VALUE(AR33)),"",1),"")</f>
        <v/>
      </c>
      <c r="AV33" s="110"/>
      <c r="AW33" s="106"/>
      <c r="AX33" s="106"/>
      <c r="AY33" s="106"/>
      <c r="AZ33" s="107"/>
      <c r="BA33" s="1" t="str">
        <f>IFERROR(IF(AND(VALUE(AV33)&gt;=VALUE(AW33),VALUE(AW33)&gt;=VALUE(AX33)),"",1),"")</f>
        <v/>
      </c>
      <c r="BB33" s="110"/>
      <c r="BC33" s="106"/>
      <c r="BD33" s="106"/>
      <c r="BE33" s="106"/>
      <c r="BF33" s="107"/>
      <c r="BG33" s="1" t="str">
        <f>IFERROR(IF(AND(VALUE(BB33)&gt;=VALUE(BC33),VALUE(BC33)&gt;=VALUE(BD33)),"",1),"")</f>
        <v/>
      </c>
      <c r="BH33" s="110"/>
      <c r="BI33" s="106"/>
      <c r="BJ33" s="106"/>
      <c r="BK33" s="106"/>
      <c r="BL33" s="107"/>
      <c r="BM33" s="1" t="str">
        <f>IFERROR(IF(AND(VALUE(BH33)&gt;=VALUE(BI33),VALUE(BI33)&gt;=VALUE(BJ33)),"",1),"")</f>
        <v/>
      </c>
    </row>
    <row r="34" spans="2:65" ht="29.25" customHeight="1">
      <c r="C34" s="92" t="s">
        <v>417</v>
      </c>
      <c r="D34" s="93" t="s">
        <v>412</v>
      </c>
      <c r="E34" s="122" t="s">
        <v>413</v>
      </c>
      <c r="F34" s="13">
        <f>SUM(F31:F33)</f>
        <v>0</v>
      </c>
      <c r="G34" s="13">
        <f>SUM(G31:G33)</f>
        <v>0</v>
      </c>
      <c r="H34" s="13">
        <f>SUM(H31:H33)</f>
        <v>0</v>
      </c>
      <c r="I34" s="13">
        <f>SUM(I31:I33)</f>
        <v>0</v>
      </c>
      <c r="J34" s="94"/>
      <c r="L34" s="90">
        <f>SUM(L31:L33)</f>
        <v>0</v>
      </c>
      <c r="M34" s="13">
        <f>SUM(M31:M33)</f>
        <v>0</v>
      </c>
      <c r="N34" s="13">
        <f>SUM(N31:N33)</f>
        <v>0</v>
      </c>
      <c r="O34" s="13">
        <f>SUM(O31:O33)</f>
        <v>0</v>
      </c>
      <c r="P34" s="94"/>
      <c r="R34" s="90">
        <f>SUM(R31:R33)</f>
        <v>0</v>
      </c>
      <c r="S34" s="13">
        <f>SUM(S31:S33)</f>
        <v>0</v>
      </c>
      <c r="T34" s="13">
        <f>SUM(T31:T33)</f>
        <v>0</v>
      </c>
      <c r="U34" s="13">
        <f>SUM(U31:U33)</f>
        <v>0</v>
      </c>
      <c r="V34" s="94"/>
      <c r="X34" s="90">
        <f>SUM(X31:X33)</f>
        <v>0</v>
      </c>
      <c r="Y34" s="13">
        <f>SUM(Y31:Y33)</f>
        <v>0</v>
      </c>
      <c r="Z34" s="13">
        <f>SUM(Z31:Z33)</f>
        <v>0</v>
      </c>
      <c r="AA34" s="13">
        <f>SUM(AA31:AA33)</f>
        <v>0</v>
      </c>
      <c r="AB34" s="94"/>
      <c r="AD34" s="90">
        <f>SUM(AD31:AD33)</f>
        <v>0</v>
      </c>
      <c r="AE34" s="13">
        <f>SUM(AE31:AE33)</f>
        <v>0</v>
      </c>
      <c r="AF34" s="13">
        <f>SUM(AF31:AF33)</f>
        <v>0</v>
      </c>
      <c r="AG34" s="13">
        <f>SUM(AG31:AG33)</f>
        <v>0</v>
      </c>
      <c r="AH34" s="94"/>
      <c r="AJ34" s="90">
        <f>SUM(AJ31:AJ33)</f>
        <v>0</v>
      </c>
      <c r="AK34" s="13">
        <f>SUM(AK31:AK33)</f>
        <v>0</v>
      </c>
      <c r="AL34" s="13">
        <f>SUM(AL31:AL33)</f>
        <v>0</v>
      </c>
      <c r="AM34" s="13">
        <f>SUM(AM31:AM33)</f>
        <v>0</v>
      </c>
      <c r="AN34" s="94"/>
      <c r="AP34" s="90">
        <f>SUM(AP31:AP33)</f>
        <v>0</v>
      </c>
      <c r="AQ34" s="13">
        <f>SUM(AQ31:AQ33)</f>
        <v>0</v>
      </c>
      <c r="AR34" s="13">
        <f>SUM(AR31:AR33)</f>
        <v>0</v>
      </c>
      <c r="AS34" s="13">
        <f>SUM(AS31:AS33)</f>
        <v>0</v>
      </c>
      <c r="AT34" s="94"/>
      <c r="AV34" s="90">
        <f>SUM(AV31:AV33)</f>
        <v>0</v>
      </c>
      <c r="AW34" s="13">
        <f>SUM(AW31:AW33)</f>
        <v>0</v>
      </c>
      <c r="AX34" s="13">
        <f>SUM(AX31:AX33)</f>
        <v>0</v>
      </c>
      <c r="AY34" s="13">
        <f>SUM(AY31:AY33)</f>
        <v>0</v>
      </c>
      <c r="AZ34" s="94"/>
      <c r="BB34" s="90">
        <f>SUM(BB31:BB33)</f>
        <v>0</v>
      </c>
      <c r="BC34" s="13">
        <f>SUM(BC31:BC33)</f>
        <v>0</v>
      </c>
      <c r="BD34" s="13">
        <f>SUM(BD31:BD33)</f>
        <v>0</v>
      </c>
      <c r="BE34" s="13">
        <f>SUM(BE31:BE33)</f>
        <v>0</v>
      </c>
      <c r="BF34" s="94"/>
      <c r="BH34" s="90">
        <f>SUM(BH31:BH33)</f>
        <v>0</v>
      </c>
      <c r="BI34" s="13">
        <f>SUM(BI31:BI33)</f>
        <v>0</v>
      </c>
      <c r="BJ34" s="13">
        <f>SUM(BJ31:BJ33)</f>
        <v>0</v>
      </c>
      <c r="BK34" s="13">
        <f>SUM(BK31:BK33)</f>
        <v>0</v>
      </c>
      <c r="BL34" s="94"/>
    </row>
    <row r="35" spans="2:65" ht="29.25" customHeight="1">
      <c r="C35" s="95" t="s">
        <v>418</v>
      </c>
      <c r="D35" s="96" t="s">
        <v>406</v>
      </c>
      <c r="E35" s="121" t="s">
        <v>407</v>
      </c>
      <c r="F35" s="97">
        <f>SUM(F15,F19,F23,F27,F31)</f>
        <v>0</v>
      </c>
      <c r="G35" s="97">
        <f>SUM(G15,G19,G23,G27,G31)</f>
        <v>0</v>
      </c>
      <c r="H35" s="97">
        <f>SUM(H15,H19,H23,H27,H31)</f>
        <v>0</v>
      </c>
      <c r="I35" s="97">
        <f>SUM(I15,I19,I23,I27,I31)</f>
        <v>0</v>
      </c>
      <c r="J35" s="98"/>
      <c r="L35" s="354">
        <f>SUM(L15,L19,L23,L27,L31)</f>
        <v>0</v>
      </c>
      <c r="M35" s="97">
        <f>SUM(M15,M19,M23,M27,M31)</f>
        <v>0</v>
      </c>
      <c r="N35" s="97">
        <f>SUM(N15,N19,N23,N27,N31)</f>
        <v>0</v>
      </c>
      <c r="O35" s="97">
        <f>SUM(O15,O19,O23,O27,O31)</f>
        <v>0</v>
      </c>
      <c r="P35" s="98"/>
      <c r="R35" s="354">
        <f>SUM(R15,R19,R23,R27,R31)</f>
        <v>0</v>
      </c>
      <c r="S35" s="97">
        <f>SUM(S15,S19,S23,S27,S31)</f>
        <v>0</v>
      </c>
      <c r="T35" s="97">
        <f>SUM(T15,T19,T23,T27,T31)</f>
        <v>0</v>
      </c>
      <c r="U35" s="97">
        <f>SUM(U15,U19,U23,U27,U31)</f>
        <v>0</v>
      </c>
      <c r="V35" s="98"/>
      <c r="X35" s="354">
        <f>SUM(X15,X19,X23,X27,X31)</f>
        <v>0</v>
      </c>
      <c r="Y35" s="97">
        <f>SUM(Y15,Y19,Y23,Y27,Y31)</f>
        <v>0</v>
      </c>
      <c r="Z35" s="97">
        <f>SUM(Z15,Z19,Z23,Z27,Z31)</f>
        <v>0</v>
      </c>
      <c r="AA35" s="97">
        <f>SUM(AA15,AA19,AA23,AA27,AA31)</f>
        <v>0</v>
      </c>
      <c r="AB35" s="98"/>
      <c r="AD35" s="354">
        <f>SUM(AD15,AD19,AD23,AD27,AD31)</f>
        <v>0</v>
      </c>
      <c r="AE35" s="97">
        <f>SUM(AE15,AE19,AE23,AE27,AE31)</f>
        <v>0</v>
      </c>
      <c r="AF35" s="97">
        <f>SUM(AF15,AF19,AF23,AF27,AF31)</f>
        <v>0</v>
      </c>
      <c r="AG35" s="97">
        <f>SUM(AG15,AG19,AG23,AG27,AG31)</f>
        <v>0</v>
      </c>
      <c r="AH35" s="98"/>
      <c r="AJ35" s="354">
        <f>SUM(AJ15,AJ19,AJ23,AJ27,AJ31)</f>
        <v>0</v>
      </c>
      <c r="AK35" s="97">
        <f>SUM(AK15,AK19,AK23,AK27,AK31)</f>
        <v>0</v>
      </c>
      <c r="AL35" s="97">
        <f>SUM(AL15,AL19,AL23,AL27,AL31)</f>
        <v>0</v>
      </c>
      <c r="AM35" s="97">
        <f>SUM(AM15,AM19,AM23,AM27,AM31)</f>
        <v>0</v>
      </c>
      <c r="AN35" s="98"/>
      <c r="AP35" s="354">
        <f>SUM(AP15,AP19,AP23,AP27,AP31)</f>
        <v>0</v>
      </c>
      <c r="AQ35" s="97">
        <f>SUM(AQ15,AQ19,AQ23,AQ27,AQ31)</f>
        <v>0</v>
      </c>
      <c r="AR35" s="97">
        <f>SUM(AR15,AR19,AR23,AR27,AR31)</f>
        <v>0</v>
      </c>
      <c r="AS35" s="97">
        <f>SUM(AS15,AS19,AS23,AS27,AS31)</f>
        <v>0</v>
      </c>
      <c r="AT35" s="98"/>
      <c r="AV35" s="354">
        <f>SUM(AV15,AV19,AV23,AV27,AV31)</f>
        <v>0</v>
      </c>
      <c r="AW35" s="97">
        <f>SUM(AW15,AW19,AW23,AW27,AW31)</f>
        <v>0</v>
      </c>
      <c r="AX35" s="97">
        <f>SUM(AX15,AX19,AX23,AX27,AX31)</f>
        <v>0</v>
      </c>
      <c r="AY35" s="97">
        <f>SUM(AY15,AY19,AY23,AY27,AY31)</f>
        <v>0</v>
      </c>
      <c r="AZ35" s="98"/>
      <c r="BB35" s="354">
        <f>SUM(BB15,BB19,BB23,BB27,BB31)</f>
        <v>0</v>
      </c>
      <c r="BC35" s="97">
        <f>SUM(BC15,BC19,BC23,BC27,BC31)</f>
        <v>0</v>
      </c>
      <c r="BD35" s="97">
        <f>SUM(BD15,BD19,BD23,BD27,BD31)</f>
        <v>0</v>
      </c>
      <c r="BE35" s="97">
        <f>SUM(BE15,BE19,BE23,BE27,BE31)</f>
        <v>0</v>
      </c>
      <c r="BF35" s="98"/>
      <c r="BH35" s="354">
        <f>SUM(BH15,BH19,BH23,BH27,BH31)</f>
        <v>0</v>
      </c>
      <c r="BI35" s="97">
        <f>SUM(BI15,BI19,BI23,BI27,BI31)</f>
        <v>0</v>
      </c>
      <c r="BJ35" s="97">
        <f>SUM(BJ15,BJ19,BJ23,BJ27,BJ31)</f>
        <v>0</v>
      </c>
      <c r="BK35" s="97">
        <f>SUM(BK15,BK19,BK23,BK27,BK31)</f>
        <v>0</v>
      </c>
      <c r="BL35" s="98"/>
    </row>
    <row r="36" spans="2:65" ht="29.25" customHeight="1">
      <c r="C36" s="85" t="s">
        <v>418</v>
      </c>
      <c r="D36" s="99" t="s">
        <v>408</v>
      </c>
      <c r="E36" s="88" t="s">
        <v>409</v>
      </c>
      <c r="F36" s="13">
        <f>SUM(F16,F20,F24,F28,F32)</f>
        <v>0</v>
      </c>
      <c r="G36" s="13">
        <f t="shared" ref="G36:I37" si="3">SUM(G16,G20,G24,G28,G32)</f>
        <v>0</v>
      </c>
      <c r="H36" s="13">
        <f t="shared" si="3"/>
        <v>0</v>
      </c>
      <c r="I36" s="13">
        <f t="shared" si="3"/>
        <v>0</v>
      </c>
      <c r="J36" s="89"/>
      <c r="L36" s="90">
        <f>SUM(L16,L20,L24,L28,L32)</f>
        <v>0</v>
      </c>
      <c r="M36" s="13">
        <f t="shared" ref="M36:O37" si="4">SUM(M16,M20,M24,M28,M32)</f>
        <v>0</v>
      </c>
      <c r="N36" s="13">
        <f t="shared" si="4"/>
        <v>0</v>
      </c>
      <c r="O36" s="13">
        <f t="shared" si="4"/>
        <v>0</v>
      </c>
      <c r="P36" s="89"/>
      <c r="R36" s="90">
        <f>SUM(R16,R20,R24,R28,R32)</f>
        <v>0</v>
      </c>
      <c r="S36" s="13">
        <f t="shared" ref="S36:U37" si="5">SUM(S16,S20,S24,S28,S32)</f>
        <v>0</v>
      </c>
      <c r="T36" s="13">
        <f t="shared" si="5"/>
        <v>0</v>
      </c>
      <c r="U36" s="13">
        <f t="shared" si="5"/>
        <v>0</v>
      </c>
      <c r="V36" s="89"/>
      <c r="X36" s="90">
        <f>SUM(X16,X20,X24,X28,X32)</f>
        <v>0</v>
      </c>
      <c r="Y36" s="13">
        <f t="shared" ref="Y36:AA37" si="6">SUM(Y16,Y20,Y24,Y28,Y32)</f>
        <v>0</v>
      </c>
      <c r="Z36" s="13">
        <f t="shared" si="6"/>
        <v>0</v>
      </c>
      <c r="AA36" s="13">
        <f t="shared" si="6"/>
        <v>0</v>
      </c>
      <c r="AB36" s="89"/>
      <c r="AD36" s="90">
        <f>SUM(AD16,AD20,AD24,AD28,AD32)</f>
        <v>0</v>
      </c>
      <c r="AE36" s="13">
        <f t="shared" ref="AE36:AG37" si="7">SUM(AE16,AE20,AE24,AE28,AE32)</f>
        <v>0</v>
      </c>
      <c r="AF36" s="13">
        <f t="shared" si="7"/>
        <v>0</v>
      </c>
      <c r="AG36" s="13">
        <f t="shared" si="7"/>
        <v>0</v>
      </c>
      <c r="AH36" s="89"/>
      <c r="AJ36" s="90">
        <f>SUM(AJ16,AJ20,AJ24,AJ28,AJ32)</f>
        <v>0</v>
      </c>
      <c r="AK36" s="13">
        <f t="shared" ref="AK36:AM37" si="8">SUM(AK16,AK20,AK24,AK28,AK32)</f>
        <v>0</v>
      </c>
      <c r="AL36" s="13">
        <f t="shared" si="8"/>
        <v>0</v>
      </c>
      <c r="AM36" s="13">
        <f t="shared" si="8"/>
        <v>0</v>
      </c>
      <c r="AN36" s="89"/>
      <c r="AP36" s="90">
        <f>SUM(AP16,AP20,AP24,AP28,AP32)</f>
        <v>0</v>
      </c>
      <c r="AQ36" s="13">
        <f t="shared" ref="AQ36:AS37" si="9">SUM(AQ16,AQ20,AQ24,AQ28,AQ32)</f>
        <v>0</v>
      </c>
      <c r="AR36" s="13">
        <f t="shared" si="9"/>
        <v>0</v>
      </c>
      <c r="AS36" s="13">
        <f t="shared" si="9"/>
        <v>0</v>
      </c>
      <c r="AT36" s="89"/>
      <c r="AV36" s="90">
        <f>SUM(AV16,AV20,AV24,AV28,AV32)</f>
        <v>0</v>
      </c>
      <c r="AW36" s="13">
        <f t="shared" ref="AW36:AY37" si="10">SUM(AW16,AW20,AW24,AW28,AW32)</f>
        <v>0</v>
      </c>
      <c r="AX36" s="13">
        <f t="shared" si="10"/>
        <v>0</v>
      </c>
      <c r="AY36" s="13">
        <f t="shared" si="10"/>
        <v>0</v>
      </c>
      <c r="AZ36" s="89"/>
      <c r="BB36" s="90">
        <f>SUM(BB16,BB20,BB24,BB28,BB32)</f>
        <v>0</v>
      </c>
      <c r="BC36" s="13">
        <f t="shared" ref="BC36:BE37" si="11">SUM(BC16,BC20,BC24,BC28,BC32)</f>
        <v>0</v>
      </c>
      <c r="BD36" s="13">
        <f t="shared" si="11"/>
        <v>0</v>
      </c>
      <c r="BE36" s="13">
        <f t="shared" si="11"/>
        <v>0</v>
      </c>
      <c r="BF36" s="89"/>
      <c r="BH36" s="90">
        <f>SUM(BH16,BH20,BH24,BH28,BH32)</f>
        <v>0</v>
      </c>
      <c r="BI36" s="13">
        <f t="shared" ref="BI36:BK37" si="12">SUM(BI16,BI20,BI24,BI28,BI32)</f>
        <v>0</v>
      </c>
      <c r="BJ36" s="13">
        <f t="shared" si="12"/>
        <v>0</v>
      </c>
      <c r="BK36" s="13">
        <f t="shared" si="12"/>
        <v>0</v>
      </c>
      <c r="BL36" s="89"/>
    </row>
    <row r="37" spans="2:65" ht="29.25" customHeight="1">
      <c r="C37" s="85" t="s">
        <v>418</v>
      </c>
      <c r="D37" s="99" t="s">
        <v>410</v>
      </c>
      <c r="E37" s="88" t="s">
        <v>411</v>
      </c>
      <c r="F37" s="13">
        <f>SUM(F17,F21,F25,F29,F33)</f>
        <v>0</v>
      </c>
      <c r="G37" s="13">
        <f t="shared" si="3"/>
        <v>0</v>
      </c>
      <c r="H37" s="13">
        <f t="shared" si="3"/>
        <v>0</v>
      </c>
      <c r="I37" s="13">
        <f t="shared" si="3"/>
        <v>0</v>
      </c>
      <c r="J37" s="89"/>
      <c r="L37" s="90">
        <f>SUM(L17,L21,L25,L29,L33)</f>
        <v>0</v>
      </c>
      <c r="M37" s="13">
        <f t="shared" si="4"/>
        <v>0</v>
      </c>
      <c r="N37" s="13">
        <f t="shared" si="4"/>
        <v>0</v>
      </c>
      <c r="O37" s="13">
        <f t="shared" si="4"/>
        <v>0</v>
      </c>
      <c r="P37" s="89"/>
      <c r="R37" s="90">
        <f>SUM(R17,R21,R25,R29,R33)</f>
        <v>0</v>
      </c>
      <c r="S37" s="13">
        <f t="shared" si="5"/>
        <v>0</v>
      </c>
      <c r="T37" s="13">
        <f t="shared" si="5"/>
        <v>0</v>
      </c>
      <c r="U37" s="13">
        <f t="shared" si="5"/>
        <v>0</v>
      </c>
      <c r="V37" s="89"/>
      <c r="X37" s="90">
        <f>SUM(X17,X21,X25,X29,X33)</f>
        <v>0</v>
      </c>
      <c r="Y37" s="13">
        <f t="shared" si="6"/>
        <v>0</v>
      </c>
      <c r="Z37" s="13">
        <f t="shared" si="6"/>
        <v>0</v>
      </c>
      <c r="AA37" s="13">
        <f t="shared" si="6"/>
        <v>0</v>
      </c>
      <c r="AB37" s="89"/>
      <c r="AD37" s="90">
        <f>SUM(AD17,AD21,AD25,AD29,AD33)</f>
        <v>0</v>
      </c>
      <c r="AE37" s="13">
        <f t="shared" si="7"/>
        <v>0</v>
      </c>
      <c r="AF37" s="13">
        <f t="shared" si="7"/>
        <v>0</v>
      </c>
      <c r="AG37" s="13">
        <f t="shared" si="7"/>
        <v>0</v>
      </c>
      <c r="AH37" s="89"/>
      <c r="AJ37" s="90">
        <f>SUM(AJ17,AJ21,AJ25,AJ29,AJ33)</f>
        <v>0</v>
      </c>
      <c r="AK37" s="13">
        <f t="shared" si="8"/>
        <v>0</v>
      </c>
      <c r="AL37" s="13">
        <f t="shared" si="8"/>
        <v>0</v>
      </c>
      <c r="AM37" s="13">
        <f t="shared" si="8"/>
        <v>0</v>
      </c>
      <c r="AN37" s="89"/>
      <c r="AP37" s="90">
        <f>SUM(AP17,AP21,AP25,AP29,AP33)</f>
        <v>0</v>
      </c>
      <c r="AQ37" s="13">
        <f t="shared" si="9"/>
        <v>0</v>
      </c>
      <c r="AR37" s="13">
        <f t="shared" si="9"/>
        <v>0</v>
      </c>
      <c r="AS37" s="13">
        <f t="shared" si="9"/>
        <v>0</v>
      </c>
      <c r="AT37" s="89"/>
      <c r="AV37" s="90">
        <f>SUM(AV17,AV21,AV25,AV29,AV33)</f>
        <v>0</v>
      </c>
      <c r="AW37" s="13">
        <f t="shared" si="10"/>
        <v>0</v>
      </c>
      <c r="AX37" s="13">
        <f t="shared" si="10"/>
        <v>0</v>
      </c>
      <c r="AY37" s="13">
        <f t="shared" si="10"/>
        <v>0</v>
      </c>
      <c r="AZ37" s="89"/>
      <c r="BB37" s="90">
        <f>SUM(BB17,BB21,BB25,BB29,BB33)</f>
        <v>0</v>
      </c>
      <c r="BC37" s="13">
        <f t="shared" si="11"/>
        <v>0</v>
      </c>
      <c r="BD37" s="13">
        <f t="shared" si="11"/>
        <v>0</v>
      </c>
      <c r="BE37" s="13">
        <f t="shared" si="11"/>
        <v>0</v>
      </c>
      <c r="BF37" s="89"/>
      <c r="BH37" s="90">
        <f>SUM(BH17,BH21,BH25,BH29,BH33)</f>
        <v>0</v>
      </c>
      <c r="BI37" s="13">
        <f t="shared" si="12"/>
        <v>0</v>
      </c>
      <c r="BJ37" s="13">
        <f t="shared" si="12"/>
        <v>0</v>
      </c>
      <c r="BK37" s="13">
        <f t="shared" si="12"/>
        <v>0</v>
      </c>
      <c r="BL37" s="89"/>
    </row>
    <row r="38" spans="2:65" ht="29.25" customHeight="1">
      <c r="C38" s="86" t="s">
        <v>418</v>
      </c>
      <c r="D38" s="100" t="s">
        <v>412</v>
      </c>
      <c r="E38" s="101" t="s">
        <v>413</v>
      </c>
      <c r="F38" s="102">
        <f>SUM(F35:F37)</f>
        <v>0</v>
      </c>
      <c r="G38" s="102">
        <f>SUM(G35:G37)</f>
        <v>0</v>
      </c>
      <c r="H38" s="102">
        <f>SUM(H35:H37)</f>
        <v>0</v>
      </c>
      <c r="I38" s="102">
        <f>SUM(I35:I37)</f>
        <v>0</v>
      </c>
      <c r="J38" s="103"/>
      <c r="L38" s="104">
        <f>SUM(L35:L37)</f>
        <v>0</v>
      </c>
      <c r="M38" s="102">
        <f>SUM(M35:M37)</f>
        <v>0</v>
      </c>
      <c r="N38" s="102">
        <f>SUM(N35:N37)</f>
        <v>0</v>
      </c>
      <c r="O38" s="102">
        <f>SUM(O35:O37)</f>
        <v>0</v>
      </c>
      <c r="P38" s="103"/>
      <c r="R38" s="104">
        <f>SUM(R35:R37)</f>
        <v>0</v>
      </c>
      <c r="S38" s="102">
        <f>SUM(S35:S37)</f>
        <v>0</v>
      </c>
      <c r="T38" s="102">
        <f>SUM(T35:T37)</f>
        <v>0</v>
      </c>
      <c r="U38" s="102">
        <f>SUM(U35:U37)</f>
        <v>0</v>
      </c>
      <c r="V38" s="103"/>
      <c r="X38" s="104">
        <f>SUM(X35:X37)</f>
        <v>0</v>
      </c>
      <c r="Y38" s="102">
        <f>SUM(Y35:Y37)</f>
        <v>0</v>
      </c>
      <c r="Z38" s="102">
        <f>SUM(Z35:Z37)</f>
        <v>0</v>
      </c>
      <c r="AA38" s="102">
        <f>SUM(AA35:AA37)</f>
        <v>0</v>
      </c>
      <c r="AB38" s="103"/>
      <c r="AD38" s="104">
        <f>SUM(AD35:AD37)</f>
        <v>0</v>
      </c>
      <c r="AE38" s="102">
        <f>SUM(AE35:AE37)</f>
        <v>0</v>
      </c>
      <c r="AF38" s="102">
        <f>SUM(AF35:AF37)</f>
        <v>0</v>
      </c>
      <c r="AG38" s="102">
        <f>SUM(AG35:AG37)</f>
        <v>0</v>
      </c>
      <c r="AH38" s="103"/>
      <c r="AJ38" s="104">
        <f>SUM(AJ35:AJ37)</f>
        <v>0</v>
      </c>
      <c r="AK38" s="102">
        <f>SUM(AK35:AK37)</f>
        <v>0</v>
      </c>
      <c r="AL38" s="102">
        <f>SUM(AL35:AL37)</f>
        <v>0</v>
      </c>
      <c r="AM38" s="102">
        <f>SUM(AM35:AM37)</f>
        <v>0</v>
      </c>
      <c r="AN38" s="103"/>
      <c r="AP38" s="104">
        <f>SUM(AP35:AP37)</f>
        <v>0</v>
      </c>
      <c r="AQ38" s="102">
        <f>SUM(AQ35:AQ37)</f>
        <v>0</v>
      </c>
      <c r="AR38" s="102">
        <f>SUM(AR35:AR37)</f>
        <v>0</v>
      </c>
      <c r="AS38" s="102">
        <f>SUM(AS35:AS37)</f>
        <v>0</v>
      </c>
      <c r="AT38" s="103"/>
      <c r="AV38" s="104">
        <f>SUM(AV35:AV37)</f>
        <v>0</v>
      </c>
      <c r="AW38" s="102">
        <f>SUM(AW35:AW37)</f>
        <v>0</v>
      </c>
      <c r="AX38" s="102">
        <f>SUM(AX35:AX37)</f>
        <v>0</v>
      </c>
      <c r="AY38" s="102">
        <f>SUM(AY35:AY37)</f>
        <v>0</v>
      </c>
      <c r="AZ38" s="103"/>
      <c r="BB38" s="104">
        <f>SUM(BB35:BB37)</f>
        <v>0</v>
      </c>
      <c r="BC38" s="102">
        <f>SUM(BC35:BC37)</f>
        <v>0</v>
      </c>
      <c r="BD38" s="102">
        <f>SUM(BD35:BD37)</f>
        <v>0</v>
      </c>
      <c r="BE38" s="102">
        <f>SUM(BE35:BE37)</f>
        <v>0</v>
      </c>
      <c r="BF38" s="103"/>
      <c r="BH38" s="104">
        <f>SUM(BH35:BH37)</f>
        <v>0</v>
      </c>
      <c r="BI38" s="102">
        <f>SUM(BI35:BI37)</f>
        <v>0</v>
      </c>
      <c r="BJ38" s="102">
        <f>SUM(BJ35:BJ37)</f>
        <v>0</v>
      </c>
      <c r="BK38" s="102">
        <f>SUM(BK35:BK37)</f>
        <v>0</v>
      </c>
      <c r="BL38" s="103"/>
    </row>
    <row r="41" spans="2:65" ht="20">
      <c r="B41" s="18" t="s">
        <v>419</v>
      </c>
      <c r="J41" s="3" t="s">
        <v>397</v>
      </c>
    </row>
    <row r="42" spans="2:65">
      <c r="F42" s="146" t="str">
        <f>$F$13</f>
        <v>事業者名：</v>
      </c>
      <c r="G42" s="147"/>
      <c r="H42" s="147"/>
      <c r="I42" s="336"/>
      <c r="J42" s="148"/>
    </row>
    <row r="43" spans="2:65" ht="36">
      <c r="B43" s="2"/>
      <c r="C43" s="75" t="s">
        <v>398</v>
      </c>
      <c r="D43" s="76" t="s">
        <v>399</v>
      </c>
      <c r="E43" s="77"/>
      <c r="F43" s="78" t="s">
        <v>400</v>
      </c>
      <c r="G43" s="78" t="s">
        <v>401</v>
      </c>
      <c r="H43" s="78" t="s">
        <v>402</v>
      </c>
      <c r="I43" s="337" t="s">
        <v>403</v>
      </c>
      <c r="J43" s="79" t="s">
        <v>404</v>
      </c>
    </row>
    <row r="44" spans="2:65" ht="28.5" customHeight="1">
      <c r="C44" s="81" t="s">
        <v>405</v>
      </c>
      <c r="D44" s="23" t="s">
        <v>406</v>
      </c>
      <c r="E44" s="82" t="s">
        <v>407</v>
      </c>
      <c r="F44" s="83">
        <f t="shared" ref="F44:I46" si="13">SUM(F15,L15,R15,X15,AD15,AJ15,AP15,AV15,BB15,BH15)</f>
        <v>0</v>
      </c>
      <c r="G44" s="83">
        <f t="shared" si="13"/>
        <v>0</v>
      </c>
      <c r="H44" s="83">
        <f t="shared" si="13"/>
        <v>0</v>
      </c>
      <c r="I44" s="83">
        <f t="shared" si="13"/>
        <v>0</v>
      </c>
      <c r="J44" s="84" t="str">
        <f>J15&amp;""</f>
        <v/>
      </c>
    </row>
    <row r="45" spans="2:65" ht="28.5" customHeight="1">
      <c r="C45" s="85" t="s">
        <v>405</v>
      </c>
      <c r="D45" s="23" t="s">
        <v>408</v>
      </c>
      <c r="E45" s="82" t="s">
        <v>409</v>
      </c>
      <c r="F45" s="83">
        <f t="shared" si="13"/>
        <v>0</v>
      </c>
      <c r="G45" s="83">
        <f t="shared" si="13"/>
        <v>0</v>
      </c>
      <c r="H45" s="83">
        <f t="shared" si="13"/>
        <v>0</v>
      </c>
      <c r="I45" s="83">
        <f t="shared" si="13"/>
        <v>0</v>
      </c>
      <c r="J45" s="84" t="str">
        <f>J16&amp;""</f>
        <v/>
      </c>
    </row>
    <row r="46" spans="2:65" ht="28.5" customHeight="1">
      <c r="C46" s="85" t="s">
        <v>405</v>
      </c>
      <c r="D46" s="23" t="s">
        <v>410</v>
      </c>
      <c r="E46" s="82" t="s">
        <v>411</v>
      </c>
      <c r="F46" s="83">
        <f t="shared" si="13"/>
        <v>0</v>
      </c>
      <c r="G46" s="83">
        <f t="shared" si="13"/>
        <v>0</v>
      </c>
      <c r="H46" s="83">
        <f t="shared" si="13"/>
        <v>0</v>
      </c>
      <c r="I46" s="83">
        <f t="shared" si="13"/>
        <v>0</v>
      </c>
      <c r="J46" s="84" t="str">
        <f>J17&amp;""</f>
        <v/>
      </c>
    </row>
    <row r="47" spans="2:65" ht="28.5" customHeight="1">
      <c r="C47" s="86" t="s">
        <v>405</v>
      </c>
      <c r="D47" s="87" t="s">
        <v>412</v>
      </c>
      <c r="E47" s="88" t="s">
        <v>413</v>
      </c>
      <c r="F47" s="13">
        <f>SUM(F44:F46)</f>
        <v>0</v>
      </c>
      <c r="G47" s="13">
        <f>SUM(G44:G46)</f>
        <v>0</v>
      </c>
      <c r="H47" s="13">
        <f>SUM(H44:H46)</f>
        <v>0</v>
      </c>
      <c r="I47" s="13">
        <f>SUM(I44:I46)</f>
        <v>0</v>
      </c>
      <c r="J47" s="89" t="str">
        <f t="shared" ref="J47:J67" si="14">J18&amp;""</f>
        <v/>
      </c>
    </row>
    <row r="48" spans="2:65" ht="28.5" customHeight="1">
      <c r="C48" s="81" t="s">
        <v>414</v>
      </c>
      <c r="D48" s="23" t="s">
        <v>406</v>
      </c>
      <c r="E48" s="82" t="s">
        <v>407</v>
      </c>
      <c r="F48" s="83">
        <f t="shared" ref="F48:I50" si="15">SUM(F19,L19,R19,X19,AD19,AJ19,AP19,AV19,BB19,BH19)</f>
        <v>0</v>
      </c>
      <c r="G48" s="83">
        <f t="shared" si="15"/>
        <v>0</v>
      </c>
      <c r="H48" s="83">
        <f t="shared" si="15"/>
        <v>0</v>
      </c>
      <c r="I48" s="83">
        <f t="shared" si="15"/>
        <v>0</v>
      </c>
      <c r="J48" s="84" t="str">
        <f t="shared" si="14"/>
        <v/>
      </c>
    </row>
    <row r="49" spans="3:10" ht="28.5" customHeight="1">
      <c r="C49" s="85" t="s">
        <v>414</v>
      </c>
      <c r="D49" s="23" t="s">
        <v>408</v>
      </c>
      <c r="E49" s="82" t="s">
        <v>409</v>
      </c>
      <c r="F49" s="83">
        <f t="shared" si="15"/>
        <v>0</v>
      </c>
      <c r="G49" s="83">
        <f t="shared" si="15"/>
        <v>0</v>
      </c>
      <c r="H49" s="83">
        <f t="shared" si="15"/>
        <v>0</v>
      </c>
      <c r="I49" s="83">
        <f t="shared" si="15"/>
        <v>0</v>
      </c>
      <c r="J49" s="84" t="str">
        <f t="shared" si="14"/>
        <v/>
      </c>
    </row>
    <row r="50" spans="3:10" ht="28.5" customHeight="1">
      <c r="C50" s="85" t="s">
        <v>414</v>
      </c>
      <c r="D50" s="23" t="s">
        <v>410</v>
      </c>
      <c r="E50" s="82" t="s">
        <v>411</v>
      </c>
      <c r="F50" s="83">
        <f t="shared" si="15"/>
        <v>0</v>
      </c>
      <c r="G50" s="83">
        <f t="shared" si="15"/>
        <v>0</v>
      </c>
      <c r="H50" s="83">
        <f t="shared" si="15"/>
        <v>0</v>
      </c>
      <c r="I50" s="83">
        <f t="shared" si="15"/>
        <v>0</v>
      </c>
      <c r="J50" s="84" t="str">
        <f t="shared" si="14"/>
        <v/>
      </c>
    </row>
    <row r="51" spans="3:10" ht="28.5" customHeight="1">
      <c r="C51" s="86" t="s">
        <v>414</v>
      </c>
      <c r="D51" s="87" t="s">
        <v>412</v>
      </c>
      <c r="E51" s="88" t="s">
        <v>413</v>
      </c>
      <c r="F51" s="13">
        <f>SUM(F48:F50)</f>
        <v>0</v>
      </c>
      <c r="G51" s="13">
        <f>SUM(G48:G50)</f>
        <v>0</v>
      </c>
      <c r="H51" s="13">
        <f>SUM(H48:H50)</f>
        <v>0</v>
      </c>
      <c r="I51" s="13">
        <f>SUM(I48:I50)</f>
        <v>0</v>
      </c>
      <c r="J51" s="89" t="str">
        <f t="shared" si="14"/>
        <v/>
      </c>
    </row>
    <row r="52" spans="3:10" ht="28.5" customHeight="1">
      <c r="C52" s="81" t="s">
        <v>415</v>
      </c>
      <c r="D52" s="23" t="s">
        <v>406</v>
      </c>
      <c r="E52" s="82" t="s">
        <v>407</v>
      </c>
      <c r="F52" s="83">
        <f t="shared" ref="F52:I54" si="16">SUM(F23,L23,R23,X23,AD23,AJ23,AP23,AV23,BB23,BH23)</f>
        <v>0</v>
      </c>
      <c r="G52" s="83">
        <f t="shared" si="16"/>
        <v>0</v>
      </c>
      <c r="H52" s="83">
        <f t="shared" si="16"/>
        <v>0</v>
      </c>
      <c r="I52" s="83">
        <f t="shared" si="16"/>
        <v>0</v>
      </c>
      <c r="J52" s="84" t="str">
        <f t="shared" si="14"/>
        <v/>
      </c>
    </row>
    <row r="53" spans="3:10" ht="28.5" customHeight="1">
      <c r="C53" s="85" t="s">
        <v>415</v>
      </c>
      <c r="D53" s="23" t="s">
        <v>408</v>
      </c>
      <c r="E53" s="82" t="s">
        <v>409</v>
      </c>
      <c r="F53" s="83">
        <f t="shared" si="16"/>
        <v>0</v>
      </c>
      <c r="G53" s="83">
        <f t="shared" si="16"/>
        <v>0</v>
      </c>
      <c r="H53" s="83">
        <f t="shared" si="16"/>
        <v>0</v>
      </c>
      <c r="I53" s="83">
        <f t="shared" si="16"/>
        <v>0</v>
      </c>
      <c r="J53" s="84" t="str">
        <f t="shared" si="14"/>
        <v/>
      </c>
    </row>
    <row r="54" spans="3:10" ht="28.5" customHeight="1">
      <c r="C54" s="85" t="s">
        <v>415</v>
      </c>
      <c r="D54" s="23" t="s">
        <v>410</v>
      </c>
      <c r="E54" s="82" t="s">
        <v>411</v>
      </c>
      <c r="F54" s="83">
        <f t="shared" si="16"/>
        <v>0</v>
      </c>
      <c r="G54" s="83">
        <f t="shared" si="16"/>
        <v>0</v>
      </c>
      <c r="H54" s="83">
        <f t="shared" si="16"/>
        <v>0</v>
      </c>
      <c r="I54" s="83">
        <f t="shared" si="16"/>
        <v>0</v>
      </c>
      <c r="J54" s="84" t="str">
        <f t="shared" si="14"/>
        <v/>
      </c>
    </row>
    <row r="55" spans="3:10" ht="28.5" customHeight="1">
      <c r="C55" s="86" t="s">
        <v>415</v>
      </c>
      <c r="D55" s="87" t="s">
        <v>412</v>
      </c>
      <c r="E55" s="88" t="s">
        <v>413</v>
      </c>
      <c r="F55" s="13">
        <f>SUM(F52:F54)</f>
        <v>0</v>
      </c>
      <c r="G55" s="13">
        <f>SUM(G52:G54)</f>
        <v>0</v>
      </c>
      <c r="H55" s="13">
        <f>SUM(H52:H54)</f>
        <v>0</v>
      </c>
      <c r="I55" s="13">
        <f>SUM(I52:I54)</f>
        <v>0</v>
      </c>
      <c r="J55" s="89" t="str">
        <f>J26&amp;""</f>
        <v/>
      </c>
    </row>
    <row r="56" spans="3:10" ht="28.5" customHeight="1">
      <c r="C56" s="81" t="s">
        <v>416</v>
      </c>
      <c r="D56" s="23" t="s">
        <v>406</v>
      </c>
      <c r="E56" s="82" t="s">
        <v>407</v>
      </c>
      <c r="F56" s="83">
        <f t="shared" ref="F56:I58" si="17">SUM(F27,L27,R27,X27,AD27,AJ27,AP27,AV27,BB27,BH27)</f>
        <v>0</v>
      </c>
      <c r="G56" s="83">
        <f t="shared" si="17"/>
        <v>0</v>
      </c>
      <c r="H56" s="83">
        <f t="shared" si="17"/>
        <v>0</v>
      </c>
      <c r="I56" s="83">
        <f t="shared" si="17"/>
        <v>0</v>
      </c>
      <c r="J56" s="84" t="str">
        <f t="shared" si="14"/>
        <v/>
      </c>
    </row>
    <row r="57" spans="3:10" ht="28.5" customHeight="1">
      <c r="C57" s="85" t="s">
        <v>416</v>
      </c>
      <c r="D57" s="23" t="s">
        <v>408</v>
      </c>
      <c r="E57" s="82" t="s">
        <v>409</v>
      </c>
      <c r="F57" s="83">
        <f t="shared" si="17"/>
        <v>0</v>
      </c>
      <c r="G57" s="83">
        <f t="shared" si="17"/>
        <v>0</v>
      </c>
      <c r="H57" s="83">
        <f t="shared" si="17"/>
        <v>0</v>
      </c>
      <c r="I57" s="83">
        <f t="shared" si="17"/>
        <v>0</v>
      </c>
      <c r="J57" s="84" t="str">
        <f t="shared" si="14"/>
        <v/>
      </c>
    </row>
    <row r="58" spans="3:10" ht="28.5" customHeight="1">
      <c r="C58" s="85" t="s">
        <v>416</v>
      </c>
      <c r="D58" s="23" t="s">
        <v>410</v>
      </c>
      <c r="E58" s="82" t="s">
        <v>411</v>
      </c>
      <c r="F58" s="83">
        <f t="shared" si="17"/>
        <v>0</v>
      </c>
      <c r="G58" s="83">
        <f t="shared" si="17"/>
        <v>0</v>
      </c>
      <c r="H58" s="83">
        <f t="shared" si="17"/>
        <v>0</v>
      </c>
      <c r="I58" s="83">
        <f t="shared" si="17"/>
        <v>0</v>
      </c>
      <c r="J58" s="84" t="str">
        <f t="shared" si="14"/>
        <v/>
      </c>
    </row>
    <row r="59" spans="3:10" ht="28.5" customHeight="1">
      <c r="C59" s="86" t="s">
        <v>416</v>
      </c>
      <c r="D59" s="87" t="s">
        <v>412</v>
      </c>
      <c r="E59" s="88" t="s">
        <v>413</v>
      </c>
      <c r="F59" s="13">
        <f>SUM(F56:F58)</f>
        <v>0</v>
      </c>
      <c r="G59" s="13">
        <f>SUM(G56:G58)</f>
        <v>0</v>
      </c>
      <c r="H59" s="13">
        <f>SUM(H56:H58)</f>
        <v>0</v>
      </c>
      <c r="I59" s="13">
        <f>SUM(I56:I58)</f>
        <v>0</v>
      </c>
      <c r="J59" s="89" t="str">
        <f t="shared" si="14"/>
        <v/>
      </c>
    </row>
    <row r="60" spans="3:10" ht="28.5" customHeight="1">
      <c r="C60" s="81" t="s">
        <v>417</v>
      </c>
      <c r="D60" s="23" t="s">
        <v>406</v>
      </c>
      <c r="E60" s="82" t="s">
        <v>407</v>
      </c>
      <c r="F60" s="83">
        <f t="shared" ref="F60:I62" si="18">SUM(F31,L31,R31,X31,AD31,AJ31,AP31,AV31,BB31,BH31)</f>
        <v>0</v>
      </c>
      <c r="G60" s="83">
        <f t="shared" si="18"/>
        <v>0</v>
      </c>
      <c r="H60" s="83">
        <f t="shared" si="18"/>
        <v>0</v>
      </c>
      <c r="I60" s="83">
        <f t="shared" si="18"/>
        <v>0</v>
      </c>
      <c r="J60" s="91" t="str">
        <f t="shared" si="14"/>
        <v/>
      </c>
    </row>
    <row r="61" spans="3:10" ht="28.5" customHeight="1">
      <c r="C61" s="85" t="s">
        <v>417</v>
      </c>
      <c r="D61" s="23" t="s">
        <v>408</v>
      </c>
      <c r="E61" s="82" t="s">
        <v>409</v>
      </c>
      <c r="F61" s="83">
        <f t="shared" si="18"/>
        <v>0</v>
      </c>
      <c r="G61" s="83">
        <f t="shared" si="18"/>
        <v>0</v>
      </c>
      <c r="H61" s="83">
        <f t="shared" si="18"/>
        <v>0</v>
      </c>
      <c r="I61" s="83">
        <f t="shared" si="18"/>
        <v>0</v>
      </c>
      <c r="J61" s="84" t="str">
        <f t="shared" si="14"/>
        <v/>
      </c>
    </row>
    <row r="62" spans="3:10" ht="28.5" customHeight="1">
      <c r="C62" s="85" t="s">
        <v>417</v>
      </c>
      <c r="D62" s="23" t="s">
        <v>410</v>
      </c>
      <c r="E62" s="82" t="s">
        <v>411</v>
      </c>
      <c r="F62" s="83">
        <f t="shared" si="18"/>
        <v>0</v>
      </c>
      <c r="G62" s="83">
        <f t="shared" si="18"/>
        <v>0</v>
      </c>
      <c r="H62" s="83">
        <f t="shared" si="18"/>
        <v>0</v>
      </c>
      <c r="I62" s="83">
        <f t="shared" si="18"/>
        <v>0</v>
      </c>
      <c r="J62" s="84" t="str">
        <f t="shared" si="14"/>
        <v/>
      </c>
    </row>
    <row r="63" spans="3:10" ht="28.5" customHeight="1">
      <c r="C63" s="92" t="s">
        <v>417</v>
      </c>
      <c r="D63" s="93" t="s">
        <v>412</v>
      </c>
      <c r="E63" s="122" t="s">
        <v>413</v>
      </c>
      <c r="F63" s="13">
        <f>SUM(F60:F62)</f>
        <v>0</v>
      </c>
      <c r="G63" s="13">
        <f>SUM(G60:G62)</f>
        <v>0</v>
      </c>
      <c r="H63" s="13">
        <f>SUM(H60:H62)</f>
        <v>0</v>
      </c>
      <c r="I63" s="13">
        <f>SUM(I60:I62)</f>
        <v>0</v>
      </c>
      <c r="J63" s="94" t="str">
        <f t="shared" si="14"/>
        <v/>
      </c>
    </row>
    <row r="64" spans="3:10" ht="28.5" customHeight="1">
      <c r="C64" s="95" t="s">
        <v>418</v>
      </c>
      <c r="D64" s="96" t="s">
        <v>406</v>
      </c>
      <c r="E64" s="121" t="s">
        <v>407</v>
      </c>
      <c r="F64" s="97">
        <f t="shared" ref="F64:I66" si="19">SUM(F44,F48,F52,F56,F60)</f>
        <v>0</v>
      </c>
      <c r="G64" s="97">
        <f t="shared" si="19"/>
        <v>0</v>
      </c>
      <c r="H64" s="97">
        <f t="shared" si="19"/>
        <v>0</v>
      </c>
      <c r="I64" s="97">
        <f t="shared" si="19"/>
        <v>0</v>
      </c>
      <c r="J64" s="98" t="str">
        <f t="shared" si="14"/>
        <v/>
      </c>
    </row>
    <row r="65" spans="2:10" ht="28.5" customHeight="1">
      <c r="C65" s="85" t="s">
        <v>418</v>
      </c>
      <c r="D65" s="99" t="s">
        <v>408</v>
      </c>
      <c r="E65" s="88" t="s">
        <v>409</v>
      </c>
      <c r="F65" s="13">
        <f t="shared" si="19"/>
        <v>0</v>
      </c>
      <c r="G65" s="13">
        <f t="shared" si="19"/>
        <v>0</v>
      </c>
      <c r="H65" s="13">
        <f t="shared" si="19"/>
        <v>0</v>
      </c>
      <c r="I65" s="13">
        <f t="shared" si="19"/>
        <v>0</v>
      </c>
      <c r="J65" s="89" t="str">
        <f t="shared" si="14"/>
        <v/>
      </c>
    </row>
    <row r="66" spans="2:10" ht="28.5" customHeight="1">
      <c r="C66" s="85" t="s">
        <v>418</v>
      </c>
      <c r="D66" s="99" t="s">
        <v>410</v>
      </c>
      <c r="E66" s="88" t="s">
        <v>411</v>
      </c>
      <c r="F66" s="13">
        <f t="shared" si="19"/>
        <v>0</v>
      </c>
      <c r="G66" s="13">
        <f t="shared" si="19"/>
        <v>0</v>
      </c>
      <c r="H66" s="13">
        <f t="shared" si="19"/>
        <v>0</v>
      </c>
      <c r="I66" s="13">
        <f t="shared" si="19"/>
        <v>0</v>
      </c>
      <c r="J66" s="89" t="str">
        <f t="shared" si="14"/>
        <v/>
      </c>
    </row>
    <row r="67" spans="2:10" ht="28.5" customHeight="1">
      <c r="C67" s="86" t="s">
        <v>418</v>
      </c>
      <c r="D67" s="100" t="s">
        <v>412</v>
      </c>
      <c r="E67" s="101" t="s">
        <v>413</v>
      </c>
      <c r="F67" s="102">
        <f>SUM(F64:F66)</f>
        <v>0</v>
      </c>
      <c r="G67" s="102">
        <f>SUM(G64:G66)</f>
        <v>0</v>
      </c>
      <c r="H67" s="102">
        <f>SUM(H64:H66)</f>
        <v>0</v>
      </c>
      <c r="I67" s="102">
        <f>SUM(I64:I66)</f>
        <v>0</v>
      </c>
      <c r="J67" s="103" t="str">
        <f t="shared" si="14"/>
        <v/>
      </c>
    </row>
    <row r="68" spans="2:10" ht="29.25" customHeight="1">
      <c r="C68" s="117" t="s">
        <v>420</v>
      </c>
      <c r="D68" s="118"/>
      <c r="E68" s="119"/>
      <c r="F68" s="115"/>
      <c r="G68" s="115">
        <f>SUM(G47,G51,G55)</f>
        <v>0</v>
      </c>
      <c r="H68" s="115"/>
      <c r="I68" s="115"/>
      <c r="J68" s="116"/>
    </row>
    <row r="69" spans="2:10">
      <c r="G69" s="112"/>
    </row>
    <row r="70" spans="2:10">
      <c r="G70" s="112"/>
    </row>
    <row r="71" spans="2:10">
      <c r="B71" s="1" t="s">
        <v>421</v>
      </c>
    </row>
    <row r="72" spans="2:10">
      <c r="C72" s="1" t="s">
        <v>422</v>
      </c>
    </row>
    <row r="73" spans="2:10">
      <c r="C73" s="27" t="s">
        <v>423</v>
      </c>
      <c r="D73" s="27">
        <f>IF(SUM(G18,G22,G26)&gt;=500000000,1,0)</f>
        <v>0</v>
      </c>
    </row>
    <row r="74" spans="2:10">
      <c r="C74" s="27" t="s">
        <v>424</v>
      </c>
      <c r="D74" s="27">
        <f>IF(SUM(M18,M22,M26)&gt;=500000000,1,0)</f>
        <v>0</v>
      </c>
    </row>
    <row r="75" spans="2:10">
      <c r="C75" s="27" t="s">
        <v>425</v>
      </c>
      <c r="D75" s="27">
        <f>IF(SUM(S18,S22,S26)&gt;=500000000,1,0)</f>
        <v>0</v>
      </c>
    </row>
    <row r="76" spans="2:10">
      <c r="C76" s="27" t="s">
        <v>426</v>
      </c>
      <c r="D76" s="27">
        <f>IF(SUM(Y18,Y22,Y26)&gt;=500000000,1,0)</f>
        <v>0</v>
      </c>
    </row>
    <row r="77" spans="2:10">
      <c r="C77" s="27" t="s">
        <v>427</v>
      </c>
      <c r="D77" s="27">
        <f>IF(SUM(AE18,AE22,AE26)&gt;=500000000,1,0)</f>
        <v>0</v>
      </c>
    </row>
    <row r="78" spans="2:10">
      <c r="C78" s="27" t="s">
        <v>428</v>
      </c>
      <c r="D78" s="27">
        <f>IF(SUM(AK18,AK22,AK26)&gt;=500000000,1,0)</f>
        <v>0</v>
      </c>
    </row>
    <row r="79" spans="2:10">
      <c r="C79" s="27" t="s">
        <v>429</v>
      </c>
      <c r="D79" s="27">
        <f>IF(SUM(AQ18,AQ22,AQ26)&gt;=500000000,1,0)</f>
        <v>0</v>
      </c>
    </row>
    <row r="80" spans="2:10">
      <c r="C80" s="27" t="s">
        <v>430</v>
      </c>
      <c r="D80" s="27">
        <f>IF(SUM(AW18,AW22,AW26)&gt;=500000000,1,0)</f>
        <v>0</v>
      </c>
    </row>
    <row r="81" spans="2:4">
      <c r="C81" s="27" t="s">
        <v>431</v>
      </c>
      <c r="D81" s="27">
        <f>IF(SUM(BC18,BC22,BC26)&gt;=500000000,1,0)</f>
        <v>0</v>
      </c>
    </row>
    <row r="82" spans="2:4">
      <c r="C82" s="27" t="s">
        <v>432</v>
      </c>
      <c r="D82" s="27">
        <f>IF(SUM(BI18,BI22,BI26)&gt;=500000000,1,0)</f>
        <v>0</v>
      </c>
    </row>
    <row r="83" spans="2:4">
      <c r="C83" s="33" t="s">
        <v>433</v>
      </c>
      <c r="D83" s="33">
        <f>SUM(D73:D82)</f>
        <v>0</v>
      </c>
    </row>
    <row r="85" spans="2:4">
      <c r="B85" s="1" t="s">
        <v>384</v>
      </c>
    </row>
    <row r="86" spans="2:4">
      <c r="C86" s="1" t="s">
        <v>383</v>
      </c>
    </row>
    <row r="87" spans="2:4">
      <c r="C87" s="27" t="s">
        <v>423</v>
      </c>
      <c r="D87" s="27">
        <f>SUM(K$15:K$33)</f>
        <v>0</v>
      </c>
    </row>
    <row r="88" spans="2:4">
      <c r="C88" s="27" t="s">
        <v>424</v>
      </c>
      <c r="D88" s="27">
        <f>SUM(Q$15:Q$33)</f>
        <v>0</v>
      </c>
    </row>
    <row r="89" spans="2:4">
      <c r="C89" s="27" t="s">
        <v>425</v>
      </c>
      <c r="D89" s="27">
        <f>SUM(W$15:W$33)</f>
        <v>0</v>
      </c>
    </row>
    <row r="90" spans="2:4">
      <c r="C90" s="27" t="s">
        <v>426</v>
      </c>
      <c r="D90" s="27">
        <f>SUM(AC$15:AC$33)</f>
        <v>0</v>
      </c>
    </row>
    <row r="91" spans="2:4">
      <c r="C91" s="27" t="s">
        <v>427</v>
      </c>
      <c r="D91" s="27">
        <f>SUM(AI$15:AI$33)</f>
        <v>0</v>
      </c>
    </row>
    <row r="92" spans="2:4">
      <c r="C92" s="27" t="s">
        <v>428</v>
      </c>
      <c r="D92" s="27">
        <f>SUM(AO$15:AO$33)</f>
        <v>0</v>
      </c>
    </row>
    <row r="93" spans="2:4">
      <c r="C93" s="27" t="s">
        <v>429</v>
      </c>
      <c r="D93" s="27">
        <f>SUM(AU$15:AU$33)</f>
        <v>0</v>
      </c>
    </row>
    <row r="94" spans="2:4">
      <c r="C94" s="27" t="s">
        <v>430</v>
      </c>
      <c r="D94" s="27">
        <f>SUM(BA$15:BA$33)</f>
        <v>0</v>
      </c>
    </row>
    <row r="95" spans="2:4">
      <c r="C95" s="27" t="s">
        <v>431</v>
      </c>
      <c r="D95" s="27">
        <f>SUM(BG$15:BG$33)</f>
        <v>0</v>
      </c>
    </row>
    <row r="96" spans="2:4">
      <c r="C96" s="27" t="s">
        <v>432</v>
      </c>
      <c r="D96" s="27">
        <f>SUM(BM$15:BM$33)</f>
        <v>0</v>
      </c>
    </row>
  </sheetData>
  <sheetProtection algorithmName="SHA-512" hashValue="JFtrE11qK7h3NK8qMyxrxxRduE5tWy6z0J3krrk4Xka3N6i2LXjOHTlB+LBq5XJM3476ReOQqlJE7KvV0PFS2A==" saltValue="XU+kAQtWPKW/a9RjJn/6BQ==" spinCount="100000" sheet="1" objects="1" scenarios="1"/>
  <phoneticPr fontId="1"/>
  <conditionalFormatting sqref="F16:J16 L16:P16 R16:V16 X16:AB16 AD16:AH16 AJ16:AN16 AP16:AT16 AV16:AZ16 BB16:BF16 BH16:BL16 F20:J20 L20:P20 R20:V20 X20:AB20 AD20:AH20 AJ20:AN20 AP20:AT20 AV20:AZ20 BB20:BF20 BH20:BL20 F24:J24 L24:P24 R24:V24 X24:AB24 AD24:AH24 AJ24:AN24 AP24:AT24 AV24:AZ24 BB24:BF24 BH24:BL24 F28:J28 L28:P28 R28:V28 X28:AB28 AD28:AH28 AJ28:AN28 AP28:AT28 AV28:AZ28 BB28:BF28 BH28:BL28 F32:J32 L32:P32 R32:V32 X32:AB32 AD32:AH32 AJ32:AN32 AP32:AT32 AV32:AZ32 BB32:BF32 BH32:BL32 F45:J45 F49:J49 F53:J53 F57:J57 F61:J61">
    <cfRule type="expression" dxfId="16" priority="11">
      <formula>AND(#REF!&lt;&gt;"",#REF!&lt;=DATEVALUE("2026/3/31"))</formula>
    </cfRule>
  </conditionalFormatting>
  <conditionalFormatting sqref="F17:J17 L17:P17 R17:V17 X17:AB17 AD17:AH17 AJ17:AN17 AP17:AT17 AV17:AZ17 BB17:BF17 BH17:BL17 F21:J21 L21:P21 R21:V21 X21:AB21 AD21:AH21 AJ21:AN21 AP21:AT21 AV21:AZ21 BB21:BF21 BH21:BL21 F25:J25 L25:P25 R25:V25 X25:AB25 AD25:AH25 AJ25:AN25 AP25:AT25 AV25:AZ25 BB25:BF25 BH25:BL25 F29:J29 L29:P29 R29:V29 X29:AB29 AD29:AH29 AJ29:AN29 AP29:AT29 AV29:AZ29 BB29:BF29 BH29:BL29 F33:J33 L33:P33 R33:V33 X33:AB33 AD33:AH33 AJ33:AN33 AP33:AT33 AV33:AZ33 BB33:BF33 BH33:BL33 F46:J46 F50:J50 F54:J54 F58:J58 F62:J62">
    <cfRule type="expression" dxfId="15" priority="10">
      <formula>AND(#REF!&lt;&gt;"",OR(AND(#REF!&gt;=DATEVALUE("2026/4/1"),#REF!&lt;=DATEVALUE("2026/3/31")),#REF!&lt;=DATEVALUE("2027/3/31")))</formula>
    </cfRule>
  </conditionalFormatting>
  <conditionalFormatting sqref="I15:I33 O15:O33 U15:U33 AA15:AA33 AG15:AG33 AM15:AM33 AS15:AS33 AY15:AY33 BE15:BE33 BK15:BK33">
    <cfRule type="expression" dxfId="14" priority="1">
      <formula>#REF!="1/4補助率を許容しない"</formula>
    </cfRule>
  </conditionalFormatting>
  <conditionalFormatting sqref="L13:P38">
    <cfRule type="expression" dxfId="13" priority="12">
      <formula>#REF!=""</formula>
    </cfRule>
  </conditionalFormatting>
  <conditionalFormatting sqref="R13:V38">
    <cfRule type="expression" dxfId="12" priority="9">
      <formula>#REF!=""</formula>
    </cfRule>
  </conditionalFormatting>
  <conditionalFormatting sqref="X13:AB38">
    <cfRule type="expression" dxfId="11" priority="8">
      <formula>#REF!=""</formula>
    </cfRule>
  </conditionalFormatting>
  <conditionalFormatting sqref="AD13:AH38">
    <cfRule type="expression" dxfId="10" priority="7">
      <formula>#REF!=""</formula>
    </cfRule>
  </conditionalFormatting>
  <conditionalFormatting sqref="AJ13:AN38">
    <cfRule type="expression" dxfId="9" priority="6">
      <formula>#REF!=""</formula>
    </cfRule>
  </conditionalFormatting>
  <conditionalFormatting sqref="AP13:AT38">
    <cfRule type="expression" dxfId="8" priority="5">
      <formula>#REF!=""</formula>
    </cfRule>
  </conditionalFormatting>
  <conditionalFormatting sqref="AV13:AZ38">
    <cfRule type="expression" dxfId="7" priority="4">
      <formula>#REF!=""</formula>
    </cfRule>
  </conditionalFormatting>
  <conditionalFormatting sqref="BB13:BF38">
    <cfRule type="expression" dxfId="6" priority="3">
      <formula>#REF!=""</formula>
    </cfRule>
  </conditionalFormatting>
  <conditionalFormatting sqref="BH13:BL38">
    <cfRule type="expression" dxfId="5" priority="2">
      <formula>#REF!=""</formula>
    </cfRule>
  </conditionalFormatting>
  <pageMargins left="0.23622047244094491" right="0.23622047244094491" top="0.74803149606299213" bottom="0.74803149606299213" header="0.31496062992125984" footer="0.31496062992125984"/>
  <pageSetup paperSize="9" scale="10" orientation="landscape" horizontalDpi="300" verticalDpi="0" r:id="rId1"/>
  <colBreaks count="1" manualBreakCount="1">
    <brk id="4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1BC09-3697-4C03-BFB7-93FD69882CEF}">
  <dimension ref="B2:CZ537"/>
  <sheetViews>
    <sheetView zoomScale="85" zoomScaleNormal="85" workbookViewId="0"/>
  </sheetViews>
  <sheetFormatPr defaultColWidth="9" defaultRowHeight="18"/>
  <cols>
    <col min="1" max="1" width="2.75" style="1" customWidth="1"/>
    <col min="2" max="2" width="32.08203125" style="1" customWidth="1"/>
    <col min="3" max="3" width="33" style="1" customWidth="1"/>
    <col min="4" max="4" width="42.33203125" style="1" customWidth="1"/>
    <col min="5" max="5" width="5" style="1" customWidth="1"/>
    <col min="6" max="104" width="38.33203125" style="1" customWidth="1"/>
    <col min="105" max="16384" width="9" style="1"/>
  </cols>
  <sheetData>
    <row r="2" spans="2:100">
      <c r="B2" s="32" t="s">
        <v>434</v>
      </c>
      <c r="C2" s="33" t="s">
        <v>435</v>
      </c>
      <c r="D2" s="291" t="s">
        <v>436</v>
      </c>
      <c r="F2" s="292" t="s">
        <v>437</v>
      </c>
      <c r="G2" s="292" t="s">
        <v>438</v>
      </c>
      <c r="H2" s="292" t="s">
        <v>439</v>
      </c>
      <c r="I2" s="292" t="s">
        <v>440</v>
      </c>
      <c r="J2" s="292" t="s">
        <v>441</v>
      </c>
      <c r="K2" s="292" t="s">
        <v>442</v>
      </c>
      <c r="L2" s="292" t="s">
        <v>443</v>
      </c>
      <c r="M2" s="292" t="s">
        <v>444</v>
      </c>
      <c r="N2" s="292" t="s">
        <v>445</v>
      </c>
      <c r="O2" s="292" t="s">
        <v>446</v>
      </c>
      <c r="P2" s="292" t="s">
        <v>447</v>
      </c>
      <c r="Q2" s="292" t="s">
        <v>448</v>
      </c>
      <c r="R2" s="292" t="s">
        <v>449</v>
      </c>
      <c r="S2" s="292" t="s">
        <v>450</v>
      </c>
      <c r="T2" s="292" t="s">
        <v>451</v>
      </c>
      <c r="U2" s="292" t="s">
        <v>452</v>
      </c>
      <c r="V2" s="292" t="s">
        <v>453</v>
      </c>
      <c r="W2" s="292" t="s">
        <v>454</v>
      </c>
      <c r="X2" s="292" t="s">
        <v>455</v>
      </c>
      <c r="Y2" s="292" t="s">
        <v>456</v>
      </c>
    </row>
    <row r="3" spans="2:100">
      <c r="B3" s="28" t="s">
        <v>437</v>
      </c>
      <c r="C3" s="27" t="s">
        <v>457</v>
      </c>
      <c r="D3" s="27" t="s">
        <v>458</v>
      </c>
      <c r="F3" s="27" t="s">
        <v>457</v>
      </c>
      <c r="G3" s="27" t="s">
        <v>459</v>
      </c>
      <c r="H3" s="27" t="s">
        <v>460</v>
      </c>
      <c r="I3" s="27" t="s">
        <v>461</v>
      </c>
      <c r="J3" s="27" t="s">
        <v>462</v>
      </c>
      <c r="K3" s="27" t="s">
        <v>463</v>
      </c>
      <c r="L3" s="27" t="s">
        <v>464</v>
      </c>
      <c r="M3" s="27" t="s">
        <v>465</v>
      </c>
      <c r="N3" s="27" t="s">
        <v>466</v>
      </c>
      <c r="O3" s="27" t="s">
        <v>467</v>
      </c>
      <c r="P3" s="27" t="s">
        <v>468</v>
      </c>
      <c r="Q3" s="27" t="s">
        <v>469</v>
      </c>
      <c r="R3" s="27" t="s">
        <v>470</v>
      </c>
      <c r="S3" s="27" t="s">
        <v>471</v>
      </c>
      <c r="T3" s="27" t="s">
        <v>472</v>
      </c>
      <c r="U3" s="27" t="s">
        <v>473</v>
      </c>
      <c r="V3" s="27" t="s">
        <v>474</v>
      </c>
      <c r="W3" s="27" t="s">
        <v>475</v>
      </c>
      <c r="X3" s="27" t="s">
        <v>476</v>
      </c>
      <c r="Y3" s="27" t="s">
        <v>477</v>
      </c>
    </row>
    <row r="4" spans="2:100">
      <c r="B4" s="29" t="s">
        <v>437</v>
      </c>
      <c r="C4" s="27" t="s">
        <v>457</v>
      </c>
      <c r="D4" s="27" t="s">
        <v>478</v>
      </c>
      <c r="F4" s="27" t="s">
        <v>479</v>
      </c>
      <c r="G4" s="27" t="s">
        <v>480</v>
      </c>
      <c r="H4" s="27"/>
      <c r="I4" s="27" t="s">
        <v>481</v>
      </c>
      <c r="J4" s="27" t="s">
        <v>482</v>
      </c>
      <c r="K4" s="27" t="s">
        <v>483</v>
      </c>
      <c r="L4" s="27" t="s">
        <v>484</v>
      </c>
      <c r="M4" s="27" t="s">
        <v>485</v>
      </c>
      <c r="N4" s="27" t="s">
        <v>486</v>
      </c>
      <c r="O4" s="27" t="s">
        <v>487</v>
      </c>
      <c r="P4" s="27" t="s">
        <v>488</v>
      </c>
      <c r="Q4" s="27" t="s">
        <v>489</v>
      </c>
      <c r="R4" s="27" t="s">
        <v>490</v>
      </c>
      <c r="S4" s="27" t="s">
        <v>491</v>
      </c>
      <c r="T4" s="27" t="s">
        <v>492</v>
      </c>
      <c r="U4" s="27" t="s">
        <v>493</v>
      </c>
      <c r="V4" s="27" t="s">
        <v>494</v>
      </c>
      <c r="W4" s="27" t="s">
        <v>495</v>
      </c>
      <c r="X4" s="27" t="s">
        <v>496</v>
      </c>
      <c r="Y4" s="27"/>
    </row>
    <row r="5" spans="2:100">
      <c r="B5" s="29" t="s">
        <v>437</v>
      </c>
      <c r="C5" s="27" t="s">
        <v>457</v>
      </c>
      <c r="D5" s="27" t="s">
        <v>497</v>
      </c>
      <c r="F5" s="27"/>
      <c r="G5" s="27"/>
      <c r="H5" s="27"/>
      <c r="I5" s="27" t="s">
        <v>498</v>
      </c>
      <c r="J5" s="27" t="s">
        <v>499</v>
      </c>
      <c r="K5" s="27" t="s">
        <v>500</v>
      </c>
      <c r="L5" s="27" t="s">
        <v>501</v>
      </c>
      <c r="M5" s="27" t="s">
        <v>502</v>
      </c>
      <c r="N5" s="27" t="s">
        <v>503</v>
      </c>
      <c r="O5" s="27" t="s">
        <v>504</v>
      </c>
      <c r="P5" s="27" t="s">
        <v>505</v>
      </c>
      <c r="Q5" s="27" t="s">
        <v>506</v>
      </c>
      <c r="R5" s="27" t="s">
        <v>507</v>
      </c>
      <c r="S5" s="27" t="s">
        <v>508</v>
      </c>
      <c r="T5" s="27"/>
      <c r="U5" s="27" t="s">
        <v>509</v>
      </c>
      <c r="V5" s="27"/>
      <c r="W5" s="27" t="s">
        <v>510</v>
      </c>
      <c r="X5" s="27"/>
      <c r="Y5" s="27"/>
    </row>
    <row r="6" spans="2:100">
      <c r="B6" s="29" t="s">
        <v>437</v>
      </c>
      <c r="C6" s="27" t="s">
        <v>457</v>
      </c>
      <c r="D6" s="27" t="s">
        <v>511</v>
      </c>
      <c r="F6" s="27"/>
      <c r="G6" s="27"/>
      <c r="H6" s="27"/>
      <c r="I6" s="27"/>
      <c r="J6" s="27" t="s">
        <v>512</v>
      </c>
      <c r="K6" s="27" t="s">
        <v>513</v>
      </c>
      <c r="L6" s="27" t="s">
        <v>514</v>
      </c>
      <c r="M6" s="27" t="s">
        <v>515</v>
      </c>
      <c r="N6" s="27" t="s">
        <v>516</v>
      </c>
      <c r="O6" s="27" t="s">
        <v>517</v>
      </c>
      <c r="P6" s="27"/>
      <c r="Q6" s="27" t="s">
        <v>518</v>
      </c>
      <c r="R6" s="27"/>
      <c r="S6" s="27"/>
      <c r="T6" s="27"/>
      <c r="U6" s="27"/>
      <c r="V6" s="27"/>
      <c r="W6" s="27" t="s">
        <v>519</v>
      </c>
      <c r="X6" s="27"/>
      <c r="Y6" s="27"/>
    </row>
    <row r="7" spans="2:100">
      <c r="B7" s="29" t="s">
        <v>437</v>
      </c>
      <c r="C7" s="27" t="s">
        <v>457</v>
      </c>
      <c r="D7" s="27" t="s">
        <v>520</v>
      </c>
      <c r="F7" s="27"/>
      <c r="G7" s="27"/>
      <c r="H7" s="27"/>
      <c r="I7" s="27"/>
      <c r="J7" s="27" t="s">
        <v>521</v>
      </c>
      <c r="K7" s="27"/>
      <c r="L7" s="27" t="s">
        <v>522</v>
      </c>
      <c r="M7" s="27" t="s">
        <v>523</v>
      </c>
      <c r="N7" s="27" t="s">
        <v>524</v>
      </c>
      <c r="O7" s="27" t="s">
        <v>525</v>
      </c>
      <c r="P7" s="27"/>
      <c r="Q7" s="27"/>
      <c r="R7" s="27"/>
      <c r="S7" s="27"/>
      <c r="T7" s="27"/>
      <c r="U7" s="27"/>
      <c r="V7" s="27"/>
      <c r="W7" s="27" t="s">
        <v>526</v>
      </c>
      <c r="X7" s="27"/>
      <c r="Y7" s="27"/>
    </row>
    <row r="8" spans="2:100">
      <c r="B8" s="29" t="s">
        <v>437</v>
      </c>
      <c r="C8" s="27" t="s">
        <v>479</v>
      </c>
      <c r="D8" s="27" t="s">
        <v>527</v>
      </c>
      <c r="F8" s="27"/>
      <c r="G8" s="27"/>
      <c r="H8" s="27"/>
      <c r="I8" s="27"/>
      <c r="J8" s="27" t="s">
        <v>528</v>
      </c>
      <c r="K8" s="27"/>
      <c r="L8" s="27"/>
      <c r="M8" s="27" t="s">
        <v>529</v>
      </c>
      <c r="N8" s="27" t="s">
        <v>530</v>
      </c>
      <c r="O8" s="27" t="s">
        <v>531</v>
      </c>
      <c r="P8" s="27"/>
      <c r="Q8" s="27"/>
      <c r="R8" s="27"/>
      <c r="S8" s="27"/>
      <c r="T8" s="27"/>
      <c r="U8" s="27"/>
      <c r="V8" s="27"/>
      <c r="W8" s="27" t="s">
        <v>532</v>
      </c>
      <c r="X8" s="27"/>
      <c r="Y8" s="27"/>
    </row>
    <row r="9" spans="2:100">
      <c r="B9" s="29" t="s">
        <v>437</v>
      </c>
      <c r="C9" s="27" t="s">
        <v>479</v>
      </c>
      <c r="D9" s="27" t="s">
        <v>533</v>
      </c>
      <c r="F9" s="27"/>
      <c r="G9" s="27"/>
      <c r="H9" s="27"/>
      <c r="I9" s="27"/>
      <c r="J9" s="27" t="s">
        <v>534</v>
      </c>
      <c r="K9" s="27"/>
      <c r="L9" s="27"/>
      <c r="M9" s="27" t="s">
        <v>535</v>
      </c>
      <c r="N9" s="27" t="s">
        <v>536</v>
      </c>
      <c r="O9" s="27"/>
      <c r="P9" s="27"/>
      <c r="Q9" s="27"/>
      <c r="R9" s="27"/>
      <c r="S9" s="27"/>
      <c r="T9" s="27"/>
      <c r="U9" s="27"/>
      <c r="V9" s="27"/>
      <c r="W9" s="27" t="s">
        <v>537</v>
      </c>
      <c r="X9" s="27"/>
      <c r="Y9" s="27"/>
    </row>
    <row r="10" spans="2:100">
      <c r="B10" s="29" t="s">
        <v>437</v>
      </c>
      <c r="C10" s="27" t="s">
        <v>479</v>
      </c>
      <c r="D10" s="27" t="s">
        <v>538</v>
      </c>
      <c r="F10" s="27"/>
      <c r="G10" s="27"/>
      <c r="H10" s="27"/>
      <c r="I10" s="27"/>
      <c r="J10" s="27" t="s">
        <v>539</v>
      </c>
      <c r="K10" s="27"/>
      <c r="L10" s="27"/>
      <c r="M10" s="27" t="s">
        <v>540</v>
      </c>
      <c r="N10" s="27" t="s">
        <v>541</v>
      </c>
      <c r="O10" s="27"/>
      <c r="P10" s="27"/>
      <c r="Q10" s="27"/>
      <c r="R10" s="27"/>
      <c r="S10" s="27"/>
      <c r="T10" s="27"/>
      <c r="U10" s="27"/>
      <c r="V10" s="27"/>
      <c r="W10" s="27" t="s">
        <v>542</v>
      </c>
      <c r="X10" s="27"/>
      <c r="Y10" s="27"/>
    </row>
    <row r="11" spans="2:100">
      <c r="B11" s="29" t="s">
        <v>437</v>
      </c>
      <c r="C11" s="27" t="s">
        <v>479</v>
      </c>
      <c r="D11" s="27" t="s">
        <v>543</v>
      </c>
      <c r="F11" s="27"/>
      <c r="G11" s="27"/>
      <c r="H11" s="27"/>
      <c r="I11" s="27"/>
      <c r="J11" s="27" t="s">
        <v>544</v>
      </c>
      <c r="K11" s="27"/>
      <c r="L11" s="27"/>
      <c r="M11" s="27"/>
      <c r="N11" s="27" t="s">
        <v>545</v>
      </c>
      <c r="O11" s="27"/>
      <c r="P11" s="27"/>
      <c r="Q11" s="27"/>
      <c r="R11" s="27"/>
      <c r="S11" s="27"/>
      <c r="T11" s="27"/>
      <c r="U11" s="27"/>
      <c r="V11" s="27"/>
      <c r="W11" s="27" t="s">
        <v>546</v>
      </c>
      <c r="X11" s="27"/>
      <c r="Y11" s="27"/>
      <c r="CV11" s="1">
        <v>1</v>
      </c>
    </row>
    <row r="12" spans="2:100">
      <c r="B12" s="29" t="s">
        <v>437</v>
      </c>
      <c r="C12" s="27" t="s">
        <v>479</v>
      </c>
      <c r="D12" s="27" t="s">
        <v>547</v>
      </c>
      <c r="F12" s="27"/>
      <c r="G12" s="27"/>
      <c r="H12" s="27"/>
      <c r="I12" s="27"/>
      <c r="J12" s="27" t="s">
        <v>548</v>
      </c>
      <c r="K12" s="27"/>
      <c r="L12" s="27"/>
      <c r="M12" s="27"/>
      <c r="N12" s="27" t="s">
        <v>549</v>
      </c>
      <c r="O12" s="27"/>
      <c r="P12" s="27"/>
      <c r="Q12" s="27"/>
      <c r="R12" s="27"/>
      <c r="S12" s="27"/>
      <c r="T12" s="27"/>
      <c r="U12" s="27"/>
      <c r="V12" s="27"/>
      <c r="W12" s="27"/>
      <c r="X12" s="27"/>
      <c r="Y12" s="27"/>
      <c r="CV12" s="1">
        <v>1</v>
      </c>
    </row>
    <row r="13" spans="2:100">
      <c r="B13" s="29" t="s">
        <v>437</v>
      </c>
      <c r="C13" s="27" t="s">
        <v>479</v>
      </c>
      <c r="D13" s="27" t="s">
        <v>550</v>
      </c>
      <c r="F13" s="27"/>
      <c r="G13" s="27"/>
      <c r="H13" s="27"/>
      <c r="I13" s="27"/>
      <c r="J13" s="27" t="s">
        <v>551</v>
      </c>
      <c r="K13" s="27"/>
      <c r="L13" s="27"/>
      <c r="M13" s="27"/>
      <c r="N13" s="27" t="s">
        <v>552</v>
      </c>
      <c r="O13" s="27"/>
      <c r="P13" s="27"/>
      <c r="Q13" s="27"/>
      <c r="R13" s="27"/>
      <c r="S13" s="27"/>
      <c r="T13" s="27"/>
      <c r="U13" s="27"/>
      <c r="V13" s="27"/>
      <c r="W13" s="27"/>
      <c r="X13" s="27"/>
      <c r="Y13" s="27"/>
    </row>
    <row r="14" spans="2:100">
      <c r="B14" s="28" t="s">
        <v>553</v>
      </c>
      <c r="C14" s="27" t="s">
        <v>554</v>
      </c>
      <c r="D14" s="27" t="s">
        <v>555</v>
      </c>
      <c r="F14" s="27"/>
      <c r="G14" s="27"/>
      <c r="H14" s="27"/>
      <c r="I14" s="27"/>
      <c r="J14" s="27" t="s">
        <v>556</v>
      </c>
      <c r="K14" s="27"/>
      <c r="L14" s="27"/>
      <c r="M14" s="27"/>
      <c r="N14" s="27" t="s">
        <v>557</v>
      </c>
      <c r="O14" s="27"/>
      <c r="P14" s="27"/>
      <c r="Q14" s="27"/>
      <c r="R14" s="27"/>
      <c r="S14" s="27"/>
      <c r="T14" s="27"/>
      <c r="U14" s="27"/>
      <c r="V14" s="27"/>
      <c r="W14" s="27"/>
      <c r="X14" s="27"/>
      <c r="Y14" s="27"/>
    </row>
    <row r="15" spans="2:100">
      <c r="B15" s="29" t="s">
        <v>553</v>
      </c>
      <c r="C15" s="27" t="s">
        <v>554</v>
      </c>
      <c r="D15" s="27" t="s">
        <v>558</v>
      </c>
      <c r="F15" s="27"/>
      <c r="G15" s="27"/>
      <c r="H15" s="27"/>
      <c r="I15" s="27"/>
      <c r="J15" s="27" t="s">
        <v>559</v>
      </c>
      <c r="K15" s="27"/>
      <c r="L15" s="27"/>
      <c r="M15" s="27"/>
      <c r="N15" s="27"/>
      <c r="O15" s="27"/>
      <c r="P15" s="27"/>
      <c r="Q15" s="27"/>
      <c r="R15" s="27"/>
      <c r="S15" s="27"/>
      <c r="T15" s="27"/>
      <c r="U15" s="27"/>
      <c r="V15" s="27"/>
      <c r="W15" s="27"/>
      <c r="X15" s="27"/>
      <c r="Y15" s="27"/>
    </row>
    <row r="16" spans="2:100">
      <c r="B16" s="29" t="s">
        <v>553</v>
      </c>
      <c r="C16" s="27" t="s">
        <v>554</v>
      </c>
      <c r="D16" s="27" t="s">
        <v>560</v>
      </c>
      <c r="F16" s="27"/>
      <c r="G16" s="27"/>
      <c r="H16" s="27"/>
      <c r="I16" s="27"/>
      <c r="J16" s="27" t="s">
        <v>561</v>
      </c>
      <c r="K16" s="27"/>
      <c r="L16" s="27"/>
      <c r="M16" s="27"/>
      <c r="N16" s="27"/>
      <c r="O16" s="27"/>
      <c r="P16" s="27"/>
      <c r="Q16" s="27"/>
      <c r="R16" s="27"/>
      <c r="S16" s="27"/>
      <c r="T16" s="27"/>
      <c r="U16" s="27"/>
      <c r="V16" s="27"/>
      <c r="W16" s="27"/>
      <c r="X16" s="27"/>
      <c r="Y16" s="27"/>
    </row>
    <row r="17" spans="2:104">
      <c r="B17" s="29" t="s">
        <v>553</v>
      </c>
      <c r="C17" s="27" t="s">
        <v>480</v>
      </c>
      <c r="D17" s="27" t="s">
        <v>562</v>
      </c>
      <c r="F17" s="27"/>
      <c r="G17" s="27"/>
      <c r="H17" s="27"/>
      <c r="I17" s="27"/>
      <c r="J17" s="27" t="s">
        <v>563</v>
      </c>
      <c r="K17" s="27"/>
      <c r="L17" s="27"/>
      <c r="M17" s="27"/>
      <c r="N17" s="27"/>
      <c r="O17" s="27"/>
      <c r="P17" s="27"/>
      <c r="Q17" s="27"/>
      <c r="R17" s="27"/>
      <c r="S17" s="27"/>
      <c r="T17" s="27"/>
      <c r="U17" s="27"/>
      <c r="V17" s="27"/>
      <c r="W17" s="27"/>
      <c r="X17" s="27"/>
      <c r="Y17" s="27"/>
    </row>
    <row r="18" spans="2:104">
      <c r="B18" s="29" t="s">
        <v>553</v>
      </c>
      <c r="C18" s="27" t="s">
        <v>480</v>
      </c>
      <c r="D18" s="27" t="s">
        <v>564</v>
      </c>
      <c r="F18" s="27"/>
      <c r="G18" s="27"/>
      <c r="H18" s="27"/>
      <c r="I18" s="27"/>
      <c r="J18" s="27" t="s">
        <v>565</v>
      </c>
      <c r="K18" s="27"/>
      <c r="L18" s="27"/>
      <c r="M18" s="27"/>
      <c r="N18" s="27"/>
      <c r="O18" s="27"/>
      <c r="P18" s="27"/>
      <c r="Q18" s="27"/>
      <c r="R18" s="27"/>
      <c r="S18" s="27"/>
      <c r="T18" s="27"/>
      <c r="U18" s="27"/>
      <c r="V18" s="27"/>
      <c r="W18" s="27"/>
      <c r="X18" s="27"/>
      <c r="Y18" s="27"/>
    </row>
    <row r="19" spans="2:104">
      <c r="B19" s="29" t="s">
        <v>553</v>
      </c>
      <c r="C19" s="27" t="s">
        <v>480</v>
      </c>
      <c r="D19" s="27" t="s">
        <v>566</v>
      </c>
      <c r="F19" s="27"/>
      <c r="G19" s="27"/>
      <c r="H19" s="27"/>
      <c r="I19" s="27"/>
      <c r="J19" s="27" t="s">
        <v>567</v>
      </c>
      <c r="K19" s="27"/>
      <c r="L19" s="27"/>
      <c r="M19" s="27"/>
      <c r="N19" s="27"/>
      <c r="O19" s="27"/>
      <c r="P19" s="27"/>
      <c r="Q19" s="27"/>
      <c r="R19" s="27"/>
      <c r="S19" s="27"/>
      <c r="T19" s="27"/>
      <c r="U19" s="27"/>
      <c r="V19" s="27"/>
      <c r="W19" s="27"/>
      <c r="X19" s="27"/>
      <c r="Y19" s="27"/>
    </row>
    <row r="20" spans="2:104">
      <c r="B20" s="28" t="s">
        <v>439</v>
      </c>
      <c r="C20" s="27" t="s">
        <v>568</v>
      </c>
      <c r="D20" s="27" t="s">
        <v>569</v>
      </c>
      <c r="F20" s="27"/>
      <c r="G20" s="27"/>
      <c r="H20" s="27"/>
      <c r="I20" s="27"/>
      <c r="J20" s="27" t="s">
        <v>570</v>
      </c>
      <c r="K20" s="27"/>
      <c r="L20" s="27"/>
      <c r="M20" s="27"/>
      <c r="N20" s="27"/>
      <c r="O20" s="27"/>
      <c r="P20" s="27"/>
      <c r="Q20" s="27"/>
      <c r="R20" s="27"/>
      <c r="S20" s="27"/>
      <c r="T20" s="27"/>
      <c r="U20" s="27"/>
      <c r="V20" s="27"/>
      <c r="W20" s="27"/>
      <c r="X20" s="27"/>
      <c r="Y20" s="27"/>
    </row>
    <row r="21" spans="2:104">
      <c r="B21" s="29" t="s">
        <v>439</v>
      </c>
      <c r="C21" s="27" t="s">
        <v>568</v>
      </c>
      <c r="D21" s="27" t="s">
        <v>571</v>
      </c>
      <c r="F21" s="27"/>
      <c r="G21" s="27"/>
      <c r="H21" s="27"/>
      <c r="I21" s="27"/>
      <c r="J21" s="27" t="s">
        <v>572</v>
      </c>
      <c r="K21" s="27"/>
      <c r="L21" s="27"/>
      <c r="M21" s="27"/>
      <c r="N21" s="27"/>
      <c r="O21" s="27"/>
      <c r="P21" s="27"/>
      <c r="Q21" s="27"/>
      <c r="R21" s="27"/>
      <c r="S21" s="27"/>
      <c r="T21" s="27"/>
      <c r="U21" s="27"/>
      <c r="V21" s="27"/>
      <c r="W21" s="27"/>
      <c r="X21" s="27"/>
      <c r="Y21" s="27"/>
    </row>
    <row r="22" spans="2:104">
      <c r="B22" s="29" t="s">
        <v>439</v>
      </c>
      <c r="C22" s="27" t="s">
        <v>568</v>
      </c>
      <c r="D22" s="27" t="s">
        <v>573</v>
      </c>
      <c r="F22" s="27"/>
      <c r="G22" s="27"/>
      <c r="H22" s="27"/>
      <c r="I22" s="27"/>
      <c r="J22" s="27" t="s">
        <v>574</v>
      </c>
      <c r="K22" s="27"/>
      <c r="L22" s="27"/>
      <c r="M22" s="27"/>
      <c r="N22" s="27"/>
      <c r="O22" s="27"/>
      <c r="P22" s="27"/>
      <c r="Q22" s="27"/>
      <c r="R22" s="27"/>
      <c r="S22" s="27"/>
      <c r="T22" s="27"/>
      <c r="U22" s="27"/>
      <c r="V22" s="27"/>
      <c r="W22" s="27"/>
      <c r="X22" s="27"/>
      <c r="Y22" s="27"/>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row>
    <row r="23" spans="2:104">
      <c r="B23" s="29" t="s">
        <v>439</v>
      </c>
      <c r="C23" s="27" t="s">
        <v>568</v>
      </c>
      <c r="D23" s="27" t="s">
        <v>575</v>
      </c>
      <c r="F23" s="27"/>
      <c r="G23" s="27"/>
      <c r="H23" s="27"/>
      <c r="I23" s="27"/>
      <c r="J23" s="27" t="s">
        <v>576</v>
      </c>
      <c r="K23" s="27"/>
      <c r="L23" s="27"/>
      <c r="M23" s="27"/>
      <c r="N23" s="27"/>
      <c r="O23" s="27"/>
      <c r="P23" s="27"/>
      <c r="Q23" s="27"/>
      <c r="R23" s="27"/>
      <c r="S23" s="27"/>
      <c r="T23" s="27"/>
      <c r="U23" s="27"/>
      <c r="V23" s="27"/>
      <c r="W23" s="27"/>
      <c r="X23" s="27"/>
      <c r="Y23" s="27"/>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row>
    <row r="24" spans="2:104">
      <c r="B24" s="29" t="s">
        <v>439</v>
      </c>
      <c r="C24" s="27" t="s">
        <v>568</v>
      </c>
      <c r="D24" s="27" t="s">
        <v>577</v>
      </c>
      <c r="F24" s="27"/>
      <c r="G24" s="27"/>
      <c r="H24" s="27"/>
      <c r="I24" s="27"/>
      <c r="J24" s="27" t="s">
        <v>578</v>
      </c>
      <c r="K24" s="27"/>
      <c r="L24" s="27"/>
      <c r="M24" s="27"/>
      <c r="N24" s="27"/>
      <c r="O24" s="27"/>
      <c r="P24" s="27"/>
      <c r="Q24" s="27"/>
      <c r="R24" s="27"/>
      <c r="S24" s="27"/>
      <c r="T24" s="27"/>
      <c r="U24" s="27"/>
      <c r="V24" s="27"/>
      <c r="W24" s="27"/>
      <c r="X24" s="27"/>
      <c r="Y24" s="27"/>
    </row>
    <row r="25" spans="2:104">
      <c r="B25" s="29" t="s">
        <v>439</v>
      </c>
      <c r="C25" s="27" t="s">
        <v>568</v>
      </c>
      <c r="D25" s="27" t="s">
        <v>579</v>
      </c>
      <c r="F25" s="27"/>
      <c r="G25" s="27"/>
      <c r="H25" s="27"/>
      <c r="I25" s="27"/>
      <c r="J25" s="27" t="s">
        <v>580</v>
      </c>
      <c r="K25" s="27"/>
      <c r="L25" s="27"/>
      <c r="M25" s="27"/>
      <c r="N25" s="27"/>
      <c r="O25" s="27"/>
      <c r="P25" s="27"/>
      <c r="Q25" s="27"/>
      <c r="R25" s="27"/>
      <c r="S25" s="27"/>
      <c r="T25" s="27"/>
      <c r="U25" s="27"/>
      <c r="V25" s="27"/>
      <c r="W25" s="27"/>
      <c r="X25" s="27"/>
      <c r="Y25" s="27"/>
    </row>
    <row r="26" spans="2:104">
      <c r="B26" s="29" t="s">
        <v>439</v>
      </c>
      <c r="C26" s="27" t="s">
        <v>568</v>
      </c>
      <c r="D26" s="27" t="s">
        <v>581</v>
      </c>
      <c r="F26" s="27"/>
      <c r="G26" s="27"/>
      <c r="H26" s="27"/>
      <c r="I26" s="27"/>
      <c r="J26" s="27" t="s">
        <v>582</v>
      </c>
      <c r="K26" s="27"/>
      <c r="L26" s="27"/>
      <c r="M26" s="27"/>
      <c r="N26" s="27"/>
      <c r="O26" s="27"/>
      <c r="P26" s="27"/>
      <c r="Q26" s="27"/>
      <c r="R26" s="27"/>
      <c r="S26" s="27"/>
      <c r="T26" s="27"/>
      <c r="U26" s="27"/>
      <c r="V26" s="27"/>
      <c r="W26" s="27"/>
      <c r="X26" s="27"/>
      <c r="Y26" s="27"/>
    </row>
    <row r="27" spans="2:104">
      <c r="B27" s="28" t="s">
        <v>583</v>
      </c>
      <c r="C27" s="27" t="s">
        <v>461</v>
      </c>
      <c r="D27" s="27" t="s">
        <v>584</v>
      </c>
    </row>
    <row r="28" spans="2:104">
      <c r="B28" s="29" t="s">
        <v>583</v>
      </c>
      <c r="C28" s="27" t="s">
        <v>461</v>
      </c>
      <c r="D28" s="27" t="s">
        <v>585</v>
      </c>
    </row>
    <row r="29" spans="2:104">
      <c r="B29" s="29" t="s">
        <v>583</v>
      </c>
      <c r="C29" s="27" t="s">
        <v>461</v>
      </c>
      <c r="D29" s="27" t="s">
        <v>586</v>
      </c>
    </row>
    <row r="30" spans="2:104">
      <c r="B30" s="29" t="s">
        <v>583</v>
      </c>
      <c r="C30" s="27" t="s">
        <v>461</v>
      </c>
      <c r="D30" s="27" t="s">
        <v>587</v>
      </c>
    </row>
    <row r="31" spans="2:104">
      <c r="B31" s="29" t="s">
        <v>583</v>
      </c>
      <c r="C31" s="27" t="s">
        <v>461</v>
      </c>
      <c r="D31" s="27" t="s">
        <v>588</v>
      </c>
    </row>
    <row r="32" spans="2:104">
      <c r="B32" s="29" t="s">
        <v>583</v>
      </c>
      <c r="C32" s="27" t="s">
        <v>461</v>
      </c>
      <c r="D32" s="27" t="s">
        <v>589</v>
      </c>
    </row>
    <row r="33" spans="2:104">
      <c r="B33" s="29" t="s">
        <v>583</v>
      </c>
      <c r="C33" s="27" t="s">
        <v>461</v>
      </c>
      <c r="D33" s="27" t="s">
        <v>590</v>
      </c>
      <c r="F33" s="292" t="s">
        <v>437</v>
      </c>
      <c r="G33" s="292" t="s">
        <v>437</v>
      </c>
      <c r="H33" s="292" t="s">
        <v>553</v>
      </c>
      <c r="I33" s="292" t="s">
        <v>553</v>
      </c>
      <c r="J33" s="292" t="s">
        <v>591</v>
      </c>
      <c r="K33" s="292" t="s">
        <v>583</v>
      </c>
      <c r="L33" s="292" t="s">
        <v>583</v>
      </c>
      <c r="M33" s="292" t="s">
        <v>583</v>
      </c>
      <c r="N33" s="292" t="s">
        <v>592</v>
      </c>
      <c r="O33" s="292" t="s">
        <v>592</v>
      </c>
      <c r="P33" s="292" t="s">
        <v>592</v>
      </c>
      <c r="Q33" s="292" t="s">
        <v>592</v>
      </c>
      <c r="R33" s="292" t="s">
        <v>592</v>
      </c>
      <c r="S33" s="292" t="s">
        <v>592</v>
      </c>
      <c r="T33" s="292" t="s">
        <v>592</v>
      </c>
      <c r="U33" s="292" t="s">
        <v>592</v>
      </c>
      <c r="V33" s="292" t="s">
        <v>592</v>
      </c>
      <c r="W33" s="292" t="s">
        <v>592</v>
      </c>
      <c r="X33" s="292" t="s">
        <v>592</v>
      </c>
      <c r="Y33" s="292" t="s">
        <v>592</v>
      </c>
      <c r="Z33" s="292" t="s">
        <v>592</v>
      </c>
      <c r="AA33" s="292" t="s">
        <v>592</v>
      </c>
      <c r="AB33" s="292" t="s">
        <v>592</v>
      </c>
      <c r="AC33" s="292" t="s">
        <v>592</v>
      </c>
      <c r="AD33" s="292" t="s">
        <v>592</v>
      </c>
      <c r="AE33" s="292" t="s">
        <v>592</v>
      </c>
      <c r="AF33" s="292" t="s">
        <v>592</v>
      </c>
      <c r="AG33" s="292" t="s">
        <v>592</v>
      </c>
      <c r="AH33" s="292" t="s">
        <v>592</v>
      </c>
      <c r="AI33" s="292" t="s">
        <v>592</v>
      </c>
      <c r="AJ33" s="292" t="s">
        <v>592</v>
      </c>
      <c r="AK33" s="292" t="s">
        <v>592</v>
      </c>
      <c r="AL33" s="292" t="s">
        <v>593</v>
      </c>
      <c r="AM33" s="292" t="s">
        <v>593</v>
      </c>
      <c r="AN33" s="292" t="s">
        <v>593</v>
      </c>
      <c r="AO33" s="292" t="s">
        <v>593</v>
      </c>
      <c r="AP33" s="292" t="s">
        <v>594</v>
      </c>
      <c r="AQ33" s="292" t="s">
        <v>594</v>
      </c>
      <c r="AR33" s="292" t="s">
        <v>594</v>
      </c>
      <c r="AS33" s="292" t="s">
        <v>594</v>
      </c>
      <c r="AT33" s="292" t="s">
        <v>594</v>
      </c>
      <c r="AU33" s="292" t="s">
        <v>595</v>
      </c>
      <c r="AV33" s="292" t="s">
        <v>595</v>
      </c>
      <c r="AW33" s="292" t="s">
        <v>595</v>
      </c>
      <c r="AX33" s="292" t="s">
        <v>595</v>
      </c>
      <c r="AY33" s="292" t="s">
        <v>595</v>
      </c>
      <c r="AZ33" s="292" t="s">
        <v>595</v>
      </c>
      <c r="BA33" s="292" t="s">
        <v>595</v>
      </c>
      <c r="BB33" s="292" t="s">
        <v>595</v>
      </c>
      <c r="BC33" s="292" t="s">
        <v>596</v>
      </c>
      <c r="BD33" s="292" t="s">
        <v>596</v>
      </c>
      <c r="BE33" s="292" t="s">
        <v>596</v>
      </c>
      <c r="BF33" s="292" t="s">
        <v>596</v>
      </c>
      <c r="BG33" s="292" t="s">
        <v>596</v>
      </c>
      <c r="BH33" s="292" t="s">
        <v>596</v>
      </c>
      <c r="BI33" s="292" t="s">
        <v>596</v>
      </c>
      <c r="BJ33" s="292" t="s">
        <v>596</v>
      </c>
      <c r="BK33" s="292" t="s">
        <v>596</v>
      </c>
      <c r="BL33" s="292" t="s">
        <v>596</v>
      </c>
      <c r="BM33" s="292" t="s">
        <v>596</v>
      </c>
      <c r="BN33" s="292" t="s">
        <v>596</v>
      </c>
      <c r="BO33" s="292" t="s">
        <v>597</v>
      </c>
      <c r="BP33" s="292" t="s">
        <v>597</v>
      </c>
      <c r="BQ33" s="292" t="s">
        <v>597</v>
      </c>
      <c r="BR33" s="292" t="s">
        <v>597</v>
      </c>
      <c r="BS33" s="292" t="s">
        <v>597</v>
      </c>
      <c r="BT33" s="292" t="s">
        <v>597</v>
      </c>
      <c r="BU33" s="292" t="s">
        <v>598</v>
      </c>
      <c r="BV33" s="292" t="s">
        <v>598</v>
      </c>
      <c r="BW33" s="292" t="s">
        <v>598</v>
      </c>
      <c r="BX33" s="292" t="s">
        <v>599</v>
      </c>
      <c r="BY33" s="292" t="s">
        <v>599</v>
      </c>
      <c r="BZ33" s="292" t="s">
        <v>599</v>
      </c>
      <c r="CA33" s="292" t="s">
        <v>599</v>
      </c>
      <c r="CB33" s="292" t="s">
        <v>600</v>
      </c>
      <c r="CC33" s="292" t="s">
        <v>600</v>
      </c>
      <c r="CD33" s="292" t="s">
        <v>600</v>
      </c>
      <c r="CE33" s="292" t="s">
        <v>601</v>
      </c>
      <c r="CF33" s="292" t="s">
        <v>601</v>
      </c>
      <c r="CG33" s="292" t="s">
        <v>601</v>
      </c>
      <c r="CH33" s="292" t="s">
        <v>602</v>
      </c>
      <c r="CI33" s="292" t="s">
        <v>602</v>
      </c>
      <c r="CJ33" s="292" t="s">
        <v>603</v>
      </c>
      <c r="CK33" s="292" t="s">
        <v>603</v>
      </c>
      <c r="CL33" s="292" t="s">
        <v>603</v>
      </c>
      <c r="CM33" s="292" t="s">
        <v>604</v>
      </c>
      <c r="CN33" s="292" t="s">
        <v>604</v>
      </c>
      <c r="CO33" s="292" t="s">
        <v>605</v>
      </c>
      <c r="CP33" s="292" t="s">
        <v>605</v>
      </c>
      <c r="CQ33" s="292" t="s">
        <v>605</v>
      </c>
      <c r="CR33" s="292" t="s">
        <v>605</v>
      </c>
      <c r="CS33" s="292" t="s">
        <v>605</v>
      </c>
      <c r="CT33" s="292" t="s">
        <v>605</v>
      </c>
      <c r="CU33" s="292" t="s">
        <v>605</v>
      </c>
      <c r="CV33" s="292" t="s">
        <v>605</v>
      </c>
      <c r="CW33" s="292" t="s">
        <v>605</v>
      </c>
      <c r="CX33" s="292" t="s">
        <v>606</v>
      </c>
      <c r="CY33" s="292" t="s">
        <v>606</v>
      </c>
      <c r="CZ33" s="292" t="s">
        <v>607</v>
      </c>
    </row>
    <row r="34" spans="2:104">
      <c r="B34" s="29" t="s">
        <v>583</v>
      </c>
      <c r="C34" s="27" t="s">
        <v>608</v>
      </c>
      <c r="D34" s="27" t="s">
        <v>609</v>
      </c>
      <c r="F34" s="32" t="s">
        <v>457</v>
      </c>
      <c r="G34" s="32" t="s">
        <v>479</v>
      </c>
      <c r="H34" s="32" t="s">
        <v>610</v>
      </c>
      <c r="I34" s="32" t="s">
        <v>480</v>
      </c>
      <c r="J34" s="32" t="s">
        <v>568</v>
      </c>
      <c r="K34" s="32" t="s">
        <v>461</v>
      </c>
      <c r="L34" s="32" t="s">
        <v>1133</v>
      </c>
      <c r="M34" s="32" t="s">
        <v>498</v>
      </c>
      <c r="N34" s="32" t="s">
        <v>462</v>
      </c>
      <c r="O34" s="32" t="s">
        <v>482</v>
      </c>
      <c r="P34" s="32" t="s">
        <v>499</v>
      </c>
      <c r="Q34" s="32" t="s">
        <v>1134</v>
      </c>
      <c r="R34" s="32" t="s">
        <v>521</v>
      </c>
      <c r="S34" s="32" t="s">
        <v>528</v>
      </c>
      <c r="T34" s="32" t="s">
        <v>534</v>
      </c>
      <c r="U34" s="32" t="s">
        <v>539</v>
      </c>
      <c r="V34" s="32" t="s">
        <v>544</v>
      </c>
      <c r="W34" s="32" t="s">
        <v>611</v>
      </c>
      <c r="X34" s="32" t="s">
        <v>551</v>
      </c>
      <c r="Y34" s="32" t="s">
        <v>556</v>
      </c>
      <c r="Z34" s="32" t="s">
        <v>559</v>
      </c>
      <c r="AA34" s="32" t="s">
        <v>561</v>
      </c>
      <c r="AB34" s="32" t="s">
        <v>563</v>
      </c>
      <c r="AC34" s="32" t="s">
        <v>565</v>
      </c>
      <c r="AD34" s="32" t="s">
        <v>567</v>
      </c>
      <c r="AE34" s="32" t="s">
        <v>570</v>
      </c>
      <c r="AF34" s="32" t="s">
        <v>572</v>
      </c>
      <c r="AG34" s="32" t="s">
        <v>574</v>
      </c>
      <c r="AH34" s="32" t="s">
        <v>576</v>
      </c>
      <c r="AI34" s="32" t="s">
        <v>578</v>
      </c>
      <c r="AJ34" s="32" t="s">
        <v>580</v>
      </c>
      <c r="AK34" s="32" t="s">
        <v>582</v>
      </c>
      <c r="AL34" s="32" t="s">
        <v>463</v>
      </c>
      <c r="AM34" s="32" t="s">
        <v>483</v>
      </c>
      <c r="AN34" s="32" t="s">
        <v>500</v>
      </c>
      <c r="AO34" s="32" t="s">
        <v>513</v>
      </c>
      <c r="AP34" s="32" t="s">
        <v>464</v>
      </c>
      <c r="AQ34" s="32" t="s">
        <v>484</v>
      </c>
      <c r="AR34" s="32" t="s">
        <v>501</v>
      </c>
      <c r="AS34" s="32" t="s">
        <v>514</v>
      </c>
      <c r="AT34" s="32" t="s">
        <v>522</v>
      </c>
      <c r="AU34" s="32" t="s">
        <v>465</v>
      </c>
      <c r="AV34" s="32" t="s">
        <v>485</v>
      </c>
      <c r="AW34" s="32" t="s">
        <v>502</v>
      </c>
      <c r="AX34" s="32" t="s">
        <v>515</v>
      </c>
      <c r="AY34" s="32" t="s">
        <v>523</v>
      </c>
      <c r="AZ34" s="32" t="s">
        <v>529</v>
      </c>
      <c r="BA34" s="32" t="s">
        <v>535</v>
      </c>
      <c r="BB34" s="32" t="s">
        <v>612</v>
      </c>
      <c r="BC34" s="32" t="s">
        <v>466</v>
      </c>
      <c r="BD34" s="32" t="s">
        <v>486</v>
      </c>
      <c r="BE34" s="32" t="s">
        <v>503</v>
      </c>
      <c r="BF34" s="32" t="s">
        <v>1103</v>
      </c>
      <c r="BG34" s="32" t="s">
        <v>524</v>
      </c>
      <c r="BH34" s="32" t="s">
        <v>530</v>
      </c>
      <c r="BI34" s="32" t="s">
        <v>536</v>
      </c>
      <c r="BJ34" s="32" t="s">
        <v>541</v>
      </c>
      <c r="BK34" s="32" t="s">
        <v>545</v>
      </c>
      <c r="BL34" s="32" t="s">
        <v>549</v>
      </c>
      <c r="BM34" s="32" t="s">
        <v>552</v>
      </c>
      <c r="BN34" s="32" t="s">
        <v>557</v>
      </c>
      <c r="BO34" s="32" t="s">
        <v>467</v>
      </c>
      <c r="BP34" s="32" t="s">
        <v>487</v>
      </c>
      <c r="BQ34" s="32" t="s">
        <v>1104</v>
      </c>
      <c r="BR34" s="32" t="s">
        <v>1105</v>
      </c>
      <c r="BS34" s="32" t="s">
        <v>525</v>
      </c>
      <c r="BT34" s="32" t="s">
        <v>1135</v>
      </c>
      <c r="BU34" s="32" t="s">
        <v>468</v>
      </c>
      <c r="BV34" s="32" t="s">
        <v>488</v>
      </c>
      <c r="BW34" s="32" t="s">
        <v>505</v>
      </c>
      <c r="BX34" s="32" t="s">
        <v>469</v>
      </c>
      <c r="BY34" s="32" t="s">
        <v>489</v>
      </c>
      <c r="BZ34" s="32" t="s">
        <v>506</v>
      </c>
      <c r="CA34" s="32" t="s">
        <v>518</v>
      </c>
      <c r="CB34" s="32" t="s">
        <v>470</v>
      </c>
      <c r="CC34" s="32" t="s">
        <v>490</v>
      </c>
      <c r="CD34" s="32" t="s">
        <v>507</v>
      </c>
      <c r="CE34" s="32" t="s">
        <v>471</v>
      </c>
      <c r="CF34" s="32" t="s">
        <v>491</v>
      </c>
      <c r="CG34" s="32" t="s">
        <v>508</v>
      </c>
      <c r="CH34" s="32" t="s">
        <v>472</v>
      </c>
      <c r="CI34" s="32" t="s">
        <v>1109</v>
      </c>
      <c r="CJ34" s="32" t="s">
        <v>473</v>
      </c>
      <c r="CK34" s="32" t="s">
        <v>493</v>
      </c>
      <c r="CL34" s="32" t="s">
        <v>509</v>
      </c>
      <c r="CM34" s="32" t="s">
        <v>474</v>
      </c>
      <c r="CN34" s="32" t="s">
        <v>494</v>
      </c>
      <c r="CO34" s="32" t="s">
        <v>475</v>
      </c>
      <c r="CP34" s="32" t="s">
        <v>495</v>
      </c>
      <c r="CQ34" s="32" t="s">
        <v>510</v>
      </c>
      <c r="CR34" s="32" t="s">
        <v>519</v>
      </c>
      <c r="CS34" s="32" t="s">
        <v>526</v>
      </c>
      <c r="CT34" s="32" t="s">
        <v>532</v>
      </c>
      <c r="CU34" s="32" t="s">
        <v>537</v>
      </c>
      <c r="CV34" s="32" t="s">
        <v>542</v>
      </c>
      <c r="CW34" s="32" t="s">
        <v>546</v>
      </c>
      <c r="CX34" s="32" t="s">
        <v>476</v>
      </c>
      <c r="CY34" s="32" t="s">
        <v>496</v>
      </c>
      <c r="CZ34" s="32" t="s">
        <v>477</v>
      </c>
    </row>
    <row r="35" spans="2:104">
      <c r="B35" s="27" t="s">
        <v>583</v>
      </c>
      <c r="C35" s="27" t="s">
        <v>608</v>
      </c>
      <c r="D35" s="27" t="s">
        <v>613</v>
      </c>
      <c r="F35" s="28" t="s">
        <v>458</v>
      </c>
      <c r="G35" s="28" t="s">
        <v>527</v>
      </c>
      <c r="H35" s="28" t="s">
        <v>555</v>
      </c>
      <c r="I35" s="28" t="s">
        <v>562</v>
      </c>
      <c r="J35" s="28" t="s">
        <v>569</v>
      </c>
      <c r="K35" s="28" t="s">
        <v>584</v>
      </c>
      <c r="L35" s="28" t="s">
        <v>609</v>
      </c>
      <c r="M35" s="28" t="s">
        <v>614</v>
      </c>
      <c r="N35" s="28" t="s">
        <v>615</v>
      </c>
      <c r="O35" s="28" t="s">
        <v>616</v>
      </c>
      <c r="P35" s="28" t="s">
        <v>617</v>
      </c>
      <c r="Q35" s="28" t="s">
        <v>618</v>
      </c>
      <c r="R35" s="28" t="s">
        <v>619</v>
      </c>
      <c r="S35" s="28" t="s">
        <v>620</v>
      </c>
      <c r="T35" s="28" t="s">
        <v>621</v>
      </c>
      <c r="U35" s="28" t="s">
        <v>622</v>
      </c>
      <c r="V35" s="28" t="s">
        <v>623</v>
      </c>
      <c r="W35" s="28" t="s">
        <v>624</v>
      </c>
      <c r="X35" s="28" t="s">
        <v>625</v>
      </c>
      <c r="Y35" s="28" t="s">
        <v>626</v>
      </c>
      <c r="Z35" s="28" t="s">
        <v>627</v>
      </c>
      <c r="AA35" s="28" t="s">
        <v>628</v>
      </c>
      <c r="AB35" s="28" t="s">
        <v>629</v>
      </c>
      <c r="AC35" s="28" t="s">
        <v>630</v>
      </c>
      <c r="AD35" s="28" t="s">
        <v>631</v>
      </c>
      <c r="AE35" s="28" t="s">
        <v>632</v>
      </c>
      <c r="AF35" s="28" t="s">
        <v>633</v>
      </c>
      <c r="AG35" s="28" t="s">
        <v>634</v>
      </c>
      <c r="AH35" s="28" t="s">
        <v>635</v>
      </c>
      <c r="AI35" s="28" t="s">
        <v>636</v>
      </c>
      <c r="AJ35" s="28" t="s">
        <v>637</v>
      </c>
      <c r="AK35" s="28" t="s">
        <v>638</v>
      </c>
      <c r="AL35" s="28" t="s">
        <v>639</v>
      </c>
      <c r="AM35" s="28" t="s">
        <v>640</v>
      </c>
      <c r="AN35" s="28" t="s">
        <v>641</v>
      </c>
      <c r="AO35" s="28" t="s">
        <v>642</v>
      </c>
      <c r="AP35" s="28" t="s">
        <v>643</v>
      </c>
      <c r="AQ35" s="28" t="s">
        <v>644</v>
      </c>
      <c r="AR35" s="28" t="s">
        <v>645</v>
      </c>
      <c r="AS35" s="28" t="s">
        <v>646</v>
      </c>
      <c r="AT35" s="28" t="s">
        <v>647</v>
      </c>
      <c r="AU35" s="28" t="s">
        <v>648</v>
      </c>
      <c r="AV35" s="28" t="s">
        <v>649</v>
      </c>
      <c r="AW35" s="28" t="s">
        <v>650</v>
      </c>
      <c r="AX35" s="28" t="s">
        <v>651</v>
      </c>
      <c r="AY35" s="28" t="s">
        <v>652</v>
      </c>
      <c r="AZ35" s="28" t="s">
        <v>653</v>
      </c>
      <c r="BA35" s="28" t="s">
        <v>654</v>
      </c>
      <c r="BB35" s="28" t="s">
        <v>655</v>
      </c>
      <c r="BC35" s="28" t="s">
        <v>656</v>
      </c>
      <c r="BD35" s="28" t="s">
        <v>657</v>
      </c>
      <c r="BE35" s="28" t="s">
        <v>658</v>
      </c>
      <c r="BF35" s="28" t="s">
        <v>659</v>
      </c>
      <c r="BG35" s="28" t="s">
        <v>660</v>
      </c>
      <c r="BH35" s="28" t="s">
        <v>661</v>
      </c>
      <c r="BI35" s="28" t="s">
        <v>662</v>
      </c>
      <c r="BJ35" s="28" t="s">
        <v>663</v>
      </c>
      <c r="BK35" s="28" t="s">
        <v>664</v>
      </c>
      <c r="BL35" s="28" t="s">
        <v>665</v>
      </c>
      <c r="BM35" s="28" t="s">
        <v>666</v>
      </c>
      <c r="BN35" s="28" t="s">
        <v>667</v>
      </c>
      <c r="BO35" s="28" t="s">
        <v>668</v>
      </c>
      <c r="BP35" s="28" t="s">
        <v>669</v>
      </c>
      <c r="BQ35" s="28" t="s">
        <v>670</v>
      </c>
      <c r="BR35" s="28" t="s">
        <v>671</v>
      </c>
      <c r="BS35" s="28" t="s">
        <v>672</v>
      </c>
      <c r="BT35" s="28" t="s">
        <v>673</v>
      </c>
      <c r="BU35" s="28" t="s">
        <v>674</v>
      </c>
      <c r="BV35" s="28" t="s">
        <v>675</v>
      </c>
      <c r="BW35" s="28" t="s">
        <v>676</v>
      </c>
      <c r="BX35" s="28" t="s">
        <v>677</v>
      </c>
      <c r="BY35" s="28" t="s">
        <v>678</v>
      </c>
      <c r="BZ35" s="28" t="s">
        <v>679</v>
      </c>
      <c r="CA35" s="28" t="s">
        <v>680</v>
      </c>
      <c r="CB35" s="28" t="s">
        <v>681</v>
      </c>
      <c r="CC35" s="28" t="s">
        <v>682</v>
      </c>
      <c r="CD35" s="28" t="s">
        <v>683</v>
      </c>
      <c r="CE35" s="28" t="s">
        <v>684</v>
      </c>
      <c r="CF35" s="28" t="s">
        <v>685</v>
      </c>
      <c r="CG35" s="28" t="s">
        <v>686</v>
      </c>
      <c r="CH35" s="28" t="s">
        <v>687</v>
      </c>
      <c r="CI35" s="28" t="s">
        <v>688</v>
      </c>
      <c r="CJ35" s="28" t="s">
        <v>689</v>
      </c>
      <c r="CK35" s="28" t="s">
        <v>690</v>
      </c>
      <c r="CL35" s="28" t="s">
        <v>691</v>
      </c>
      <c r="CM35" s="28" t="s">
        <v>692</v>
      </c>
      <c r="CN35" s="28" t="s">
        <v>693</v>
      </c>
      <c r="CO35" s="28" t="s">
        <v>694</v>
      </c>
      <c r="CP35" s="28" t="s">
        <v>695</v>
      </c>
      <c r="CQ35" s="28" t="s">
        <v>696</v>
      </c>
      <c r="CR35" s="28" t="s">
        <v>697</v>
      </c>
      <c r="CS35" s="28" t="s">
        <v>698</v>
      </c>
      <c r="CT35" s="28" t="s">
        <v>699</v>
      </c>
      <c r="CU35" s="28" t="s">
        <v>700</v>
      </c>
      <c r="CV35" s="28" t="s">
        <v>1112</v>
      </c>
      <c r="CW35" s="28" t="s">
        <v>701</v>
      </c>
      <c r="CX35" s="28" t="s">
        <v>702</v>
      </c>
      <c r="CY35" s="28" t="s">
        <v>1136</v>
      </c>
      <c r="CZ35" s="28" t="s">
        <v>703</v>
      </c>
    </row>
    <row r="36" spans="2:104">
      <c r="B36" s="29" t="s">
        <v>583</v>
      </c>
      <c r="C36" s="27" t="s">
        <v>608</v>
      </c>
      <c r="D36" s="27" t="s">
        <v>704</v>
      </c>
      <c r="F36" s="28" t="s">
        <v>478</v>
      </c>
      <c r="G36" s="28" t="s">
        <v>533</v>
      </c>
      <c r="H36" s="28" t="s">
        <v>558</v>
      </c>
      <c r="I36" s="28" t="s">
        <v>564</v>
      </c>
      <c r="J36" s="28" t="s">
        <v>571</v>
      </c>
      <c r="K36" s="28" t="s">
        <v>585</v>
      </c>
      <c r="L36" s="28" t="s">
        <v>613</v>
      </c>
      <c r="M36" s="28" t="s">
        <v>705</v>
      </c>
      <c r="N36" s="28" t="s">
        <v>706</v>
      </c>
      <c r="O36" s="28" t="s">
        <v>707</v>
      </c>
      <c r="P36" s="28" t="s">
        <v>708</v>
      </c>
      <c r="Q36" s="28" t="s">
        <v>709</v>
      </c>
      <c r="R36" s="28" t="s">
        <v>710</v>
      </c>
      <c r="S36" s="28" t="s">
        <v>711</v>
      </c>
      <c r="T36" s="28" t="s">
        <v>712</v>
      </c>
      <c r="U36" s="28" t="s">
        <v>713</v>
      </c>
      <c r="V36" s="28" t="s">
        <v>714</v>
      </c>
      <c r="W36" s="28" t="s">
        <v>715</v>
      </c>
      <c r="X36" s="28" t="s">
        <v>716</v>
      </c>
      <c r="Y36" s="28" t="s">
        <v>717</v>
      </c>
      <c r="Z36" s="28" t="s">
        <v>718</v>
      </c>
      <c r="AA36" s="28" t="s">
        <v>719</v>
      </c>
      <c r="AB36" s="28" t="s">
        <v>720</v>
      </c>
      <c r="AC36" s="28" t="s">
        <v>721</v>
      </c>
      <c r="AD36" s="28" t="s">
        <v>722</v>
      </c>
      <c r="AE36" s="28" t="s">
        <v>723</v>
      </c>
      <c r="AF36" s="28" t="s">
        <v>724</v>
      </c>
      <c r="AG36" s="28" t="s">
        <v>725</v>
      </c>
      <c r="AH36" s="28" t="s">
        <v>726</v>
      </c>
      <c r="AI36" s="28" t="s">
        <v>727</v>
      </c>
      <c r="AJ36" s="28" t="s">
        <v>728</v>
      </c>
      <c r="AK36" s="28" t="s">
        <v>729</v>
      </c>
      <c r="AL36" s="28" t="s">
        <v>730</v>
      </c>
      <c r="AM36" s="28" t="s">
        <v>731</v>
      </c>
      <c r="AN36" s="28" t="s">
        <v>732</v>
      </c>
      <c r="AO36" s="28" t="s">
        <v>733</v>
      </c>
      <c r="AP36" s="28" t="s">
        <v>734</v>
      </c>
      <c r="AQ36" s="28" t="s">
        <v>735</v>
      </c>
      <c r="AR36" s="28" t="s">
        <v>736</v>
      </c>
      <c r="AS36" s="28" t="s">
        <v>737</v>
      </c>
      <c r="AT36" s="28" t="s">
        <v>738</v>
      </c>
      <c r="AU36" s="28" t="s">
        <v>739</v>
      </c>
      <c r="AV36" s="28" t="s">
        <v>740</v>
      </c>
      <c r="AW36" s="28" t="s">
        <v>741</v>
      </c>
      <c r="AX36" s="28" t="s">
        <v>742</v>
      </c>
      <c r="AY36" s="28" t="s">
        <v>743</v>
      </c>
      <c r="AZ36" s="28" t="s">
        <v>744</v>
      </c>
      <c r="BA36" s="28" t="s">
        <v>745</v>
      </c>
      <c r="BB36" s="28" t="s">
        <v>746</v>
      </c>
      <c r="BC36" s="28" t="s">
        <v>747</v>
      </c>
      <c r="BD36" s="28" t="s">
        <v>748</v>
      </c>
      <c r="BE36" s="28" t="s">
        <v>749</v>
      </c>
      <c r="BF36" s="28" t="s">
        <v>750</v>
      </c>
      <c r="BG36" s="28" t="s">
        <v>751</v>
      </c>
      <c r="BH36" s="28" t="s">
        <v>752</v>
      </c>
      <c r="BI36" s="28" t="s">
        <v>1119</v>
      </c>
      <c r="BJ36" s="28" t="s">
        <v>753</v>
      </c>
      <c r="BK36" s="28" t="s">
        <v>754</v>
      </c>
      <c r="BL36" s="28" t="s">
        <v>755</v>
      </c>
      <c r="BM36" s="28" t="s">
        <v>756</v>
      </c>
      <c r="BN36" s="28" t="s">
        <v>757</v>
      </c>
      <c r="BO36" s="28" t="s">
        <v>758</v>
      </c>
      <c r="BP36" s="28" t="s">
        <v>759</v>
      </c>
      <c r="BQ36" s="28" t="s">
        <v>760</v>
      </c>
      <c r="BR36" s="28" t="s">
        <v>761</v>
      </c>
      <c r="BS36" s="28" t="s">
        <v>762</v>
      </c>
      <c r="BT36" s="28" t="s">
        <v>763</v>
      </c>
      <c r="BU36" s="28" t="s">
        <v>764</v>
      </c>
      <c r="BV36" s="28" t="s">
        <v>765</v>
      </c>
      <c r="BW36" s="28" t="s">
        <v>766</v>
      </c>
      <c r="BX36" s="28" t="s">
        <v>767</v>
      </c>
      <c r="BY36" s="28" t="s">
        <v>768</v>
      </c>
      <c r="BZ36" s="28" t="s">
        <v>769</v>
      </c>
      <c r="CA36" s="28" t="s">
        <v>770</v>
      </c>
      <c r="CB36" s="28" t="s">
        <v>771</v>
      </c>
      <c r="CC36" s="28" t="s">
        <v>772</v>
      </c>
      <c r="CD36" s="28" t="s">
        <v>773</v>
      </c>
      <c r="CE36" s="28" t="s">
        <v>774</v>
      </c>
      <c r="CF36" s="28" t="s">
        <v>775</v>
      </c>
      <c r="CG36" s="28" t="s">
        <v>776</v>
      </c>
      <c r="CH36" s="28" t="s">
        <v>777</v>
      </c>
      <c r="CI36" s="28" t="s">
        <v>778</v>
      </c>
      <c r="CJ36" s="28" t="s">
        <v>779</v>
      </c>
      <c r="CK36" s="28" t="s">
        <v>780</v>
      </c>
      <c r="CL36" s="28" t="s">
        <v>781</v>
      </c>
      <c r="CM36" s="28" t="s">
        <v>782</v>
      </c>
      <c r="CN36" s="28" t="s">
        <v>783</v>
      </c>
      <c r="CO36" s="28" t="s">
        <v>784</v>
      </c>
      <c r="CP36" s="28" t="s">
        <v>785</v>
      </c>
      <c r="CQ36" s="28" t="s">
        <v>786</v>
      </c>
      <c r="CR36" s="28" t="s">
        <v>787</v>
      </c>
      <c r="CS36" s="28" t="s">
        <v>788</v>
      </c>
      <c r="CT36" s="28" t="s">
        <v>789</v>
      </c>
      <c r="CU36" s="28" t="s">
        <v>790</v>
      </c>
      <c r="CV36" s="28" t="s">
        <v>791</v>
      </c>
      <c r="CW36" s="28" t="s">
        <v>792</v>
      </c>
      <c r="CX36" s="28" t="s">
        <v>793</v>
      </c>
      <c r="CY36" s="28" t="s">
        <v>1137</v>
      </c>
      <c r="CZ36" s="28"/>
    </row>
    <row r="37" spans="2:104">
      <c r="B37" s="29" t="s">
        <v>583</v>
      </c>
      <c r="C37" s="27" t="s">
        <v>608</v>
      </c>
      <c r="D37" s="27" t="s">
        <v>794</v>
      </c>
      <c r="F37" s="28" t="s">
        <v>497</v>
      </c>
      <c r="G37" s="28" t="s">
        <v>538</v>
      </c>
      <c r="H37" s="28" t="s">
        <v>560</v>
      </c>
      <c r="I37" s="28" t="s">
        <v>566</v>
      </c>
      <c r="J37" s="28" t="s">
        <v>573</v>
      </c>
      <c r="K37" s="28" t="s">
        <v>586</v>
      </c>
      <c r="L37" s="28" t="s">
        <v>704</v>
      </c>
      <c r="M37" s="28" t="s">
        <v>795</v>
      </c>
      <c r="N37" s="28" t="s">
        <v>796</v>
      </c>
      <c r="O37" s="28" t="s">
        <v>797</v>
      </c>
      <c r="P37" s="28" t="s">
        <v>798</v>
      </c>
      <c r="Q37" s="28" t="s">
        <v>799</v>
      </c>
      <c r="R37" s="28" t="s">
        <v>800</v>
      </c>
      <c r="S37" s="28" t="s">
        <v>801</v>
      </c>
      <c r="T37" s="28" t="s">
        <v>802</v>
      </c>
      <c r="U37" s="28" t="s">
        <v>803</v>
      </c>
      <c r="V37" s="28" t="s">
        <v>1138</v>
      </c>
      <c r="W37" s="28" t="s">
        <v>804</v>
      </c>
      <c r="X37" s="28" t="s">
        <v>805</v>
      </c>
      <c r="Y37" s="28" t="s">
        <v>806</v>
      </c>
      <c r="Z37" s="28" t="s">
        <v>807</v>
      </c>
      <c r="AA37" s="28" t="s">
        <v>808</v>
      </c>
      <c r="AB37" s="28" t="s">
        <v>809</v>
      </c>
      <c r="AC37" s="28" t="s">
        <v>810</v>
      </c>
      <c r="AD37" s="28" t="s">
        <v>811</v>
      </c>
      <c r="AE37" s="28" t="s">
        <v>812</v>
      </c>
      <c r="AF37" s="28" t="s">
        <v>813</v>
      </c>
      <c r="AG37" s="28" t="s">
        <v>814</v>
      </c>
      <c r="AH37" s="28" t="s">
        <v>815</v>
      </c>
      <c r="AI37" s="28" t="s">
        <v>816</v>
      </c>
      <c r="AJ37" s="28" t="s">
        <v>817</v>
      </c>
      <c r="AK37" s="28" t="s">
        <v>818</v>
      </c>
      <c r="AL37" s="28"/>
      <c r="AM37" s="28"/>
      <c r="AN37" s="28"/>
      <c r="AO37" s="28" t="s">
        <v>819</v>
      </c>
      <c r="AP37" s="28" t="s">
        <v>820</v>
      </c>
      <c r="AQ37" s="28" t="s">
        <v>821</v>
      </c>
      <c r="AR37" s="28" t="s">
        <v>822</v>
      </c>
      <c r="AS37" s="28"/>
      <c r="AT37" s="28" t="s">
        <v>823</v>
      </c>
      <c r="AU37" s="28"/>
      <c r="AV37" s="28" t="s">
        <v>824</v>
      </c>
      <c r="AW37" s="28" t="s">
        <v>825</v>
      </c>
      <c r="AX37" s="28" t="s">
        <v>826</v>
      </c>
      <c r="AY37" s="28" t="s">
        <v>827</v>
      </c>
      <c r="AZ37" s="28" t="s">
        <v>828</v>
      </c>
      <c r="BA37" s="28" t="s">
        <v>829</v>
      </c>
      <c r="BB37" s="28"/>
      <c r="BC37" s="28"/>
      <c r="BD37" s="28" t="s">
        <v>830</v>
      </c>
      <c r="BE37" s="28" t="s">
        <v>831</v>
      </c>
      <c r="BF37" s="28" t="s">
        <v>832</v>
      </c>
      <c r="BG37" s="28" t="s">
        <v>833</v>
      </c>
      <c r="BH37" s="28" t="s">
        <v>834</v>
      </c>
      <c r="BI37" s="28" t="s">
        <v>1120</v>
      </c>
      <c r="BJ37" s="28" t="s">
        <v>835</v>
      </c>
      <c r="BK37" s="28" t="s">
        <v>836</v>
      </c>
      <c r="BL37" s="28" t="s">
        <v>837</v>
      </c>
      <c r="BM37" s="28" t="s">
        <v>838</v>
      </c>
      <c r="BN37" s="28" t="s">
        <v>839</v>
      </c>
      <c r="BO37" s="28" t="s">
        <v>840</v>
      </c>
      <c r="BP37" s="28" t="s">
        <v>841</v>
      </c>
      <c r="BQ37" s="28" t="s">
        <v>842</v>
      </c>
      <c r="BR37" s="28" t="s">
        <v>843</v>
      </c>
      <c r="BS37" s="28" t="s">
        <v>844</v>
      </c>
      <c r="BT37" s="28" t="s">
        <v>845</v>
      </c>
      <c r="BU37" s="28" t="s">
        <v>846</v>
      </c>
      <c r="BV37" s="28" t="s">
        <v>847</v>
      </c>
      <c r="BW37" s="28" t="s">
        <v>848</v>
      </c>
      <c r="BX37" s="28" t="s">
        <v>849</v>
      </c>
      <c r="BY37" s="28" t="s">
        <v>850</v>
      </c>
      <c r="BZ37" s="28"/>
      <c r="CA37" s="28" t="s">
        <v>851</v>
      </c>
      <c r="CB37" s="28" t="s">
        <v>852</v>
      </c>
      <c r="CC37" s="28" t="s">
        <v>853</v>
      </c>
      <c r="CD37" s="28" t="s">
        <v>854</v>
      </c>
      <c r="CE37" s="28" t="s">
        <v>855</v>
      </c>
      <c r="CF37" s="28" t="s">
        <v>856</v>
      </c>
      <c r="CG37" s="28" t="s">
        <v>857</v>
      </c>
      <c r="CH37" s="28" t="s">
        <v>926</v>
      </c>
      <c r="CI37" s="28" t="s">
        <v>859</v>
      </c>
      <c r="CJ37" s="28" t="s">
        <v>860</v>
      </c>
      <c r="CK37" s="28" t="s">
        <v>861</v>
      </c>
      <c r="CL37" s="28" t="s">
        <v>862</v>
      </c>
      <c r="CM37" s="28" t="s">
        <v>863</v>
      </c>
      <c r="CN37" s="28" t="s">
        <v>864</v>
      </c>
      <c r="CO37" s="28" t="s">
        <v>865</v>
      </c>
      <c r="CP37" s="28"/>
      <c r="CQ37" s="28" t="s">
        <v>866</v>
      </c>
      <c r="CR37" s="28" t="s">
        <v>867</v>
      </c>
      <c r="CS37" s="28" t="s">
        <v>1139</v>
      </c>
      <c r="CT37" s="28" t="s">
        <v>868</v>
      </c>
      <c r="CU37" s="28" t="s">
        <v>869</v>
      </c>
      <c r="CV37" s="28" t="s">
        <v>870</v>
      </c>
      <c r="CW37" s="28"/>
      <c r="CX37" s="28" t="s">
        <v>871</v>
      </c>
      <c r="CY37" s="28"/>
      <c r="CZ37" s="28"/>
    </row>
    <row r="38" spans="2:104">
      <c r="B38" s="29" t="s">
        <v>583</v>
      </c>
      <c r="C38" s="27" t="s">
        <v>608</v>
      </c>
      <c r="D38" s="27" t="s">
        <v>872</v>
      </c>
      <c r="F38" s="28" t="s">
        <v>511</v>
      </c>
      <c r="G38" s="28" t="s">
        <v>543</v>
      </c>
      <c r="H38" s="28"/>
      <c r="I38" s="28"/>
      <c r="J38" s="28" t="s">
        <v>575</v>
      </c>
      <c r="K38" s="28" t="s">
        <v>587</v>
      </c>
      <c r="L38" s="28" t="s">
        <v>794</v>
      </c>
      <c r="M38" s="28" t="s">
        <v>873</v>
      </c>
      <c r="N38" s="28" t="s">
        <v>874</v>
      </c>
      <c r="O38" s="28" t="s">
        <v>875</v>
      </c>
      <c r="P38" s="28" t="s">
        <v>876</v>
      </c>
      <c r="Q38" s="28" t="s">
        <v>877</v>
      </c>
      <c r="R38" s="28" t="s">
        <v>878</v>
      </c>
      <c r="S38" s="28" t="s">
        <v>879</v>
      </c>
      <c r="T38" s="28" t="s">
        <v>880</v>
      </c>
      <c r="U38" s="28" t="s">
        <v>881</v>
      </c>
      <c r="V38" s="28" t="s">
        <v>882</v>
      </c>
      <c r="W38" s="28" t="s">
        <v>883</v>
      </c>
      <c r="X38" s="28" t="s">
        <v>884</v>
      </c>
      <c r="Y38" s="28" t="s">
        <v>885</v>
      </c>
      <c r="Z38" s="28" t="s">
        <v>886</v>
      </c>
      <c r="AA38" s="28" t="s">
        <v>887</v>
      </c>
      <c r="AB38" s="28" t="s">
        <v>888</v>
      </c>
      <c r="AC38" s="28" t="s">
        <v>889</v>
      </c>
      <c r="AD38" s="28" t="s">
        <v>890</v>
      </c>
      <c r="AE38" s="28" t="s">
        <v>891</v>
      </c>
      <c r="AF38" s="28" t="s">
        <v>892</v>
      </c>
      <c r="AG38" s="28" t="s">
        <v>893</v>
      </c>
      <c r="AH38" s="28" t="s">
        <v>894</v>
      </c>
      <c r="AI38" s="28" t="s">
        <v>895</v>
      </c>
      <c r="AJ38" s="28" t="s">
        <v>896</v>
      </c>
      <c r="AK38" s="28" t="s">
        <v>897</v>
      </c>
      <c r="AL38" s="28"/>
      <c r="AM38" s="28"/>
      <c r="AN38" s="28"/>
      <c r="AO38" s="28" t="s">
        <v>898</v>
      </c>
      <c r="AP38" s="28" t="s">
        <v>899</v>
      </c>
      <c r="AQ38" s="28" t="s">
        <v>962</v>
      </c>
      <c r="AR38" s="28"/>
      <c r="AS38" s="28"/>
      <c r="AT38" s="28" t="s">
        <v>900</v>
      </c>
      <c r="AU38" s="28"/>
      <c r="AV38" s="28" t="s">
        <v>901</v>
      </c>
      <c r="AW38" s="28" t="s">
        <v>902</v>
      </c>
      <c r="AX38" s="28" t="s">
        <v>903</v>
      </c>
      <c r="AY38" s="28"/>
      <c r="AZ38" s="28"/>
      <c r="BA38" s="28" t="s">
        <v>904</v>
      </c>
      <c r="BB38" s="28"/>
      <c r="BC38" s="28"/>
      <c r="BD38" s="28" t="s">
        <v>905</v>
      </c>
      <c r="BE38" s="28"/>
      <c r="BF38" s="28" t="s">
        <v>906</v>
      </c>
      <c r="BG38" s="28" t="s">
        <v>907</v>
      </c>
      <c r="BH38" s="28" t="s">
        <v>908</v>
      </c>
      <c r="BI38" s="28" t="s">
        <v>1121</v>
      </c>
      <c r="BJ38" s="28" t="s">
        <v>909</v>
      </c>
      <c r="BK38" s="28" t="s">
        <v>910</v>
      </c>
      <c r="BL38" s="28" t="s">
        <v>911</v>
      </c>
      <c r="BM38" s="28" t="s">
        <v>912</v>
      </c>
      <c r="BN38" s="28" t="s">
        <v>913</v>
      </c>
      <c r="BO38" s="28"/>
      <c r="BP38" s="28"/>
      <c r="BQ38" s="28" t="s">
        <v>914</v>
      </c>
      <c r="BR38" s="28"/>
      <c r="BS38" s="28" t="s">
        <v>915</v>
      </c>
      <c r="BT38" s="28" t="s">
        <v>916</v>
      </c>
      <c r="BU38" s="28"/>
      <c r="BV38" s="28" t="s">
        <v>917</v>
      </c>
      <c r="BW38" s="28" t="s">
        <v>918</v>
      </c>
      <c r="BX38" s="28"/>
      <c r="BY38" s="28" t="s">
        <v>919</v>
      </c>
      <c r="BZ38" s="28"/>
      <c r="CA38" s="28" t="s">
        <v>920</v>
      </c>
      <c r="CB38" s="28" t="s">
        <v>921</v>
      </c>
      <c r="CC38" s="28" t="s">
        <v>922</v>
      </c>
      <c r="CD38" s="28" t="s">
        <v>1140</v>
      </c>
      <c r="CE38" s="28" t="s">
        <v>923</v>
      </c>
      <c r="CF38" s="28" t="s">
        <v>924</v>
      </c>
      <c r="CG38" s="28" t="s">
        <v>925</v>
      </c>
      <c r="CH38" s="28" t="s">
        <v>1128</v>
      </c>
      <c r="CI38" s="28" t="s">
        <v>927</v>
      </c>
      <c r="CJ38" s="28" t="s">
        <v>928</v>
      </c>
      <c r="CK38" s="28" t="s">
        <v>929</v>
      </c>
      <c r="CL38" s="28" t="s">
        <v>930</v>
      </c>
      <c r="CM38" s="28"/>
      <c r="CN38" s="28">
        <v>1</v>
      </c>
      <c r="CO38" s="28" t="s">
        <v>931</v>
      </c>
      <c r="CP38" s="28"/>
      <c r="CQ38" s="28" t="s">
        <v>932</v>
      </c>
      <c r="CR38" s="28"/>
      <c r="CS38" s="28" t="s">
        <v>933</v>
      </c>
      <c r="CT38" s="28" t="s">
        <v>934</v>
      </c>
      <c r="CU38" s="28" t="s">
        <v>935</v>
      </c>
      <c r="CV38" s="28" t="s">
        <v>936</v>
      </c>
      <c r="CW38" s="28"/>
      <c r="CX38" s="28"/>
      <c r="CY38" s="28"/>
      <c r="CZ38" s="28"/>
    </row>
    <row r="39" spans="2:104">
      <c r="B39" s="27" t="s">
        <v>583</v>
      </c>
      <c r="C39" s="27" t="s">
        <v>608</v>
      </c>
      <c r="D39" s="27" t="s">
        <v>937</v>
      </c>
      <c r="F39" s="28" t="s">
        <v>520</v>
      </c>
      <c r="G39" s="28" t="s">
        <v>547</v>
      </c>
      <c r="H39" s="28"/>
      <c r="I39" s="28"/>
      <c r="J39" s="28" t="s">
        <v>577</v>
      </c>
      <c r="K39" s="28" t="s">
        <v>588</v>
      </c>
      <c r="L39" s="28" t="s">
        <v>872</v>
      </c>
      <c r="M39" s="28" t="s">
        <v>938</v>
      </c>
      <c r="N39" s="28" t="s">
        <v>939</v>
      </c>
      <c r="O39" s="28" t="s">
        <v>940</v>
      </c>
      <c r="P39" s="28" t="s">
        <v>941</v>
      </c>
      <c r="Q39" s="28" t="s">
        <v>942</v>
      </c>
      <c r="R39" s="28" t="s">
        <v>943</v>
      </c>
      <c r="S39" s="28" t="s">
        <v>944</v>
      </c>
      <c r="T39" s="28" t="s">
        <v>945</v>
      </c>
      <c r="U39" s="28" t="s">
        <v>946</v>
      </c>
      <c r="V39" s="28" t="s">
        <v>947</v>
      </c>
      <c r="W39" s="28" t="s">
        <v>948</v>
      </c>
      <c r="X39" s="28" t="s">
        <v>949</v>
      </c>
      <c r="Y39" s="28" t="s">
        <v>950</v>
      </c>
      <c r="Z39" s="28" t="s">
        <v>951</v>
      </c>
      <c r="AA39" s="28" t="s">
        <v>952</v>
      </c>
      <c r="AB39" s="28" t="s">
        <v>953</v>
      </c>
      <c r="AC39" s="28" t="s">
        <v>954</v>
      </c>
      <c r="AD39" s="28" t="s">
        <v>955</v>
      </c>
      <c r="AE39" s="28" t="s">
        <v>956</v>
      </c>
      <c r="AF39" s="28" t="s">
        <v>957</v>
      </c>
      <c r="AG39" s="28" t="s">
        <v>958</v>
      </c>
      <c r="AH39" s="28" t="s">
        <v>959</v>
      </c>
      <c r="AI39" s="28"/>
      <c r="AJ39" s="28" t="s">
        <v>960</v>
      </c>
      <c r="AK39" s="28" t="s">
        <v>961</v>
      </c>
      <c r="AL39" s="28"/>
      <c r="AM39" s="28"/>
      <c r="AN39" s="28"/>
      <c r="AO39" s="28"/>
      <c r="AP39" s="28"/>
      <c r="AQ39" s="28"/>
      <c r="AR39" s="28"/>
      <c r="AS39" s="28"/>
      <c r="AT39" s="28" t="s">
        <v>963</v>
      </c>
      <c r="AU39" s="28"/>
      <c r="AV39" s="28" t="s">
        <v>964</v>
      </c>
      <c r="AW39" s="28" t="s">
        <v>965</v>
      </c>
      <c r="AX39" s="28" t="s">
        <v>966</v>
      </c>
      <c r="AY39" s="28"/>
      <c r="AZ39" s="28"/>
      <c r="BA39" s="28" t="s">
        <v>967</v>
      </c>
      <c r="BB39" s="28"/>
      <c r="BC39" s="28"/>
      <c r="BD39" s="28"/>
      <c r="BE39" s="28"/>
      <c r="BF39" s="28" t="s">
        <v>968</v>
      </c>
      <c r="BG39" s="28" t="s">
        <v>969</v>
      </c>
      <c r="BH39" s="28" t="s">
        <v>970</v>
      </c>
      <c r="BI39" s="28" t="s">
        <v>1122</v>
      </c>
      <c r="BJ39" s="28" t="s">
        <v>971</v>
      </c>
      <c r="BK39" s="28" t="s">
        <v>972</v>
      </c>
      <c r="BL39" s="28"/>
      <c r="BM39" s="28" t="s">
        <v>973</v>
      </c>
      <c r="BN39" s="28"/>
      <c r="BO39" s="28"/>
      <c r="BP39" s="28"/>
      <c r="BQ39" s="28" t="s">
        <v>974</v>
      </c>
      <c r="BR39" s="28"/>
      <c r="BS39" s="28"/>
      <c r="BT39" s="28" t="s">
        <v>975</v>
      </c>
      <c r="BU39" s="28"/>
      <c r="BV39" s="28" t="s">
        <v>976</v>
      </c>
      <c r="BW39" s="28" t="s">
        <v>977</v>
      </c>
      <c r="BX39" s="28"/>
      <c r="BY39" s="28" t="s">
        <v>978</v>
      </c>
      <c r="BZ39" s="28"/>
      <c r="CA39" s="28" t="s">
        <v>979</v>
      </c>
      <c r="CB39" s="28" t="s">
        <v>980</v>
      </c>
      <c r="CC39" s="28" t="s">
        <v>981</v>
      </c>
      <c r="CD39" s="28"/>
      <c r="CE39" s="28" t="s">
        <v>982</v>
      </c>
      <c r="CF39" s="28" t="s">
        <v>983</v>
      </c>
      <c r="CG39" s="28" t="s">
        <v>984</v>
      </c>
      <c r="CH39" s="28" t="s">
        <v>1025</v>
      </c>
      <c r="CI39" s="28" t="s">
        <v>985</v>
      </c>
      <c r="CJ39" s="28" t="s">
        <v>986</v>
      </c>
      <c r="CK39" s="28"/>
      <c r="CL39" s="28" t="s">
        <v>987</v>
      </c>
      <c r="CM39" s="28"/>
      <c r="CN39" s="28"/>
      <c r="CO39" s="28"/>
      <c r="CP39" s="28"/>
      <c r="CQ39" s="28" t="s">
        <v>988</v>
      </c>
      <c r="CR39" s="28"/>
      <c r="CS39" s="28" t="s">
        <v>989</v>
      </c>
      <c r="CT39" s="28" t="s">
        <v>990</v>
      </c>
      <c r="CU39" s="28"/>
      <c r="CV39" s="28"/>
      <c r="CW39" s="28"/>
      <c r="CX39" s="28"/>
      <c r="CY39" s="28"/>
      <c r="CZ39" s="28"/>
    </row>
    <row r="40" spans="2:104">
      <c r="B40" s="29" t="s">
        <v>583</v>
      </c>
      <c r="C40" s="27" t="s">
        <v>608</v>
      </c>
      <c r="D40" s="27" t="s">
        <v>991</v>
      </c>
      <c r="F40" s="28"/>
      <c r="G40" s="28" t="s">
        <v>550</v>
      </c>
      <c r="H40" s="28"/>
      <c r="I40" s="28"/>
      <c r="J40" s="28" t="s">
        <v>579</v>
      </c>
      <c r="K40" s="28" t="s">
        <v>589</v>
      </c>
      <c r="L40" s="28" t="s">
        <v>937</v>
      </c>
      <c r="M40" s="28" t="s">
        <v>992</v>
      </c>
      <c r="N40" s="28" t="s">
        <v>1141</v>
      </c>
      <c r="O40" s="28" t="s">
        <v>993</v>
      </c>
      <c r="P40" s="28" t="s">
        <v>994</v>
      </c>
      <c r="Q40" s="28"/>
      <c r="R40" s="28"/>
      <c r="S40" s="28" t="s">
        <v>995</v>
      </c>
      <c r="T40" s="28"/>
      <c r="U40" s="28" t="s">
        <v>996</v>
      </c>
      <c r="V40" s="28" t="s">
        <v>997</v>
      </c>
      <c r="W40" s="28" t="s">
        <v>998</v>
      </c>
      <c r="X40" s="28"/>
      <c r="Y40" s="28" t="s">
        <v>999</v>
      </c>
      <c r="Z40" s="28" t="s">
        <v>1000</v>
      </c>
      <c r="AA40" s="28" t="s">
        <v>1001</v>
      </c>
      <c r="AB40" s="28" t="s">
        <v>1002</v>
      </c>
      <c r="AC40" s="28" t="s">
        <v>1003</v>
      </c>
      <c r="AD40" s="28"/>
      <c r="AE40" s="28" t="s">
        <v>1004</v>
      </c>
      <c r="AF40" s="28" t="s">
        <v>1005</v>
      </c>
      <c r="AG40" s="28" t="s">
        <v>1006</v>
      </c>
      <c r="AH40" s="28" t="s">
        <v>1007</v>
      </c>
      <c r="AI40" s="28"/>
      <c r="AJ40" s="28" t="s">
        <v>1008</v>
      </c>
      <c r="AK40" s="28" t="s">
        <v>1009</v>
      </c>
      <c r="AL40" s="28"/>
      <c r="AM40" s="28"/>
      <c r="AN40" s="28"/>
      <c r="AO40" s="28"/>
      <c r="AP40" s="28"/>
      <c r="AQ40" s="28"/>
      <c r="AR40" s="28"/>
      <c r="AS40" s="28"/>
      <c r="AT40" s="28" t="s">
        <v>1010</v>
      </c>
      <c r="AU40" s="28"/>
      <c r="AV40" s="28"/>
      <c r="AW40" s="28" t="s">
        <v>1011</v>
      </c>
      <c r="AX40" s="28"/>
      <c r="AY40" s="28"/>
      <c r="AZ40" s="28"/>
      <c r="BA40" s="28" t="s">
        <v>1012</v>
      </c>
      <c r="BB40" s="28"/>
      <c r="BC40" s="28"/>
      <c r="BD40" s="28"/>
      <c r="BE40" s="28"/>
      <c r="BF40" s="28" t="s">
        <v>1013</v>
      </c>
      <c r="BG40" s="28"/>
      <c r="BH40" s="28"/>
      <c r="BI40" s="28" t="s">
        <v>1123</v>
      </c>
      <c r="BJ40" s="28" t="s">
        <v>1014</v>
      </c>
      <c r="BK40" s="28" t="s">
        <v>1015</v>
      </c>
      <c r="BL40" s="28"/>
      <c r="BM40" s="28" t="s">
        <v>1016</v>
      </c>
      <c r="BN40" s="28"/>
      <c r="BO40" s="28"/>
      <c r="BP40" s="28"/>
      <c r="BQ40" s="28"/>
      <c r="BR40" s="28"/>
      <c r="BS40" s="28"/>
      <c r="BT40" s="28" t="s">
        <v>1017</v>
      </c>
      <c r="BU40" s="28"/>
      <c r="BV40" s="28"/>
      <c r="BW40" s="28" t="s">
        <v>1018</v>
      </c>
      <c r="BX40" s="28"/>
      <c r="BY40" s="28" t="s">
        <v>1019</v>
      </c>
      <c r="BZ40" s="28"/>
      <c r="CA40" s="28" t="s">
        <v>1020</v>
      </c>
      <c r="CB40" s="28"/>
      <c r="CC40" s="28" t="s">
        <v>1021</v>
      </c>
      <c r="CD40" s="28"/>
      <c r="CE40" s="28" t="s">
        <v>1022</v>
      </c>
      <c r="CF40" s="28" t="s">
        <v>1023</v>
      </c>
      <c r="CG40" s="28" t="s">
        <v>1024</v>
      </c>
      <c r="CH40" s="28" t="s">
        <v>1058</v>
      </c>
      <c r="CI40" s="28" t="s">
        <v>1026</v>
      </c>
      <c r="CJ40" s="28" t="s">
        <v>1129</v>
      </c>
      <c r="CK40" s="28"/>
      <c r="CL40" s="28" t="s">
        <v>1027</v>
      </c>
      <c r="CM40" s="28"/>
      <c r="CN40" s="28"/>
      <c r="CO40" s="28"/>
      <c r="CP40" s="28"/>
      <c r="CQ40" s="28"/>
      <c r="CR40" s="28"/>
      <c r="CS40" s="28"/>
      <c r="CT40" s="28"/>
      <c r="CU40" s="28"/>
      <c r="CV40" s="28"/>
      <c r="CW40" s="28"/>
      <c r="CX40" s="28"/>
      <c r="CY40" s="28"/>
      <c r="CZ40" s="28"/>
    </row>
    <row r="41" spans="2:104">
      <c r="B41" s="29" t="s">
        <v>583</v>
      </c>
      <c r="C41" s="27" t="s">
        <v>608</v>
      </c>
      <c r="D41" s="27" t="s">
        <v>1028</v>
      </c>
      <c r="F41" s="28"/>
      <c r="G41" s="28"/>
      <c r="H41" s="28"/>
      <c r="I41" s="28"/>
      <c r="J41" s="28" t="s">
        <v>581</v>
      </c>
      <c r="K41" s="28" t="s">
        <v>590</v>
      </c>
      <c r="L41" s="28" t="s">
        <v>991</v>
      </c>
      <c r="M41" s="28"/>
      <c r="N41" s="28" t="s">
        <v>1029</v>
      </c>
      <c r="O41" s="28" t="s">
        <v>1030</v>
      </c>
      <c r="P41" s="28" t="s">
        <v>1031</v>
      </c>
      <c r="Q41" s="28"/>
      <c r="R41" s="28"/>
      <c r="S41" s="28" t="s">
        <v>1032</v>
      </c>
      <c r="T41" s="28"/>
      <c r="U41" s="28" t="s">
        <v>1033</v>
      </c>
      <c r="V41" s="28"/>
      <c r="W41" s="28" t="s">
        <v>1034</v>
      </c>
      <c r="X41" s="28"/>
      <c r="Y41" s="28" t="s">
        <v>1035</v>
      </c>
      <c r="Z41" s="28" t="s">
        <v>1036</v>
      </c>
      <c r="AA41" s="28" t="s">
        <v>1037</v>
      </c>
      <c r="AB41" s="28" t="s">
        <v>1038</v>
      </c>
      <c r="AC41" s="28" t="s">
        <v>1039</v>
      </c>
      <c r="AD41" s="28"/>
      <c r="AE41" s="28" t="s">
        <v>1040</v>
      </c>
      <c r="AF41" s="28" t="s">
        <v>1041</v>
      </c>
      <c r="AG41" s="28" t="s">
        <v>1042</v>
      </c>
      <c r="AH41" s="28" t="s">
        <v>1043</v>
      </c>
      <c r="AI41" s="28"/>
      <c r="AJ41" s="28" t="s">
        <v>1044</v>
      </c>
      <c r="AK41" s="28" t="s">
        <v>1045</v>
      </c>
      <c r="AL41" s="28"/>
      <c r="AM41" s="28"/>
      <c r="AN41" s="28"/>
      <c r="AO41" s="28"/>
      <c r="AP41" s="28"/>
      <c r="AQ41" s="28"/>
      <c r="AR41" s="28"/>
      <c r="AS41" s="28"/>
      <c r="AT41" s="28" t="s">
        <v>1046</v>
      </c>
      <c r="AU41" s="28"/>
      <c r="AV41" s="28"/>
      <c r="AW41" s="28"/>
      <c r="AX41" s="28"/>
      <c r="AY41" s="28"/>
      <c r="AZ41" s="28"/>
      <c r="BA41" s="28" t="s">
        <v>1047</v>
      </c>
      <c r="BB41" s="28"/>
      <c r="BC41" s="28"/>
      <c r="BD41" s="28"/>
      <c r="BE41" s="28"/>
      <c r="BF41" s="28" t="s">
        <v>1048</v>
      </c>
      <c r="BG41" s="28"/>
      <c r="BH41" s="28"/>
      <c r="BI41" s="28" t="s">
        <v>1124</v>
      </c>
      <c r="BJ41" s="28"/>
      <c r="BK41" s="28" t="s">
        <v>1049</v>
      </c>
      <c r="BL41" s="28"/>
      <c r="BM41" s="28" t="s">
        <v>1050</v>
      </c>
      <c r="BN41" s="28"/>
      <c r="BO41" s="28"/>
      <c r="BP41" s="28"/>
      <c r="BQ41" s="28"/>
      <c r="BR41" s="28"/>
      <c r="BS41" s="28"/>
      <c r="BT41" s="28"/>
      <c r="BU41" s="28"/>
      <c r="BV41" s="28"/>
      <c r="BW41" s="28" t="s">
        <v>1051</v>
      </c>
      <c r="BX41" s="28"/>
      <c r="BY41" s="28" t="s">
        <v>1052</v>
      </c>
      <c r="BZ41" s="28"/>
      <c r="CA41" s="28" t="s">
        <v>1053</v>
      </c>
      <c r="CB41" s="28"/>
      <c r="CC41" s="28" t="s">
        <v>1054</v>
      </c>
      <c r="CD41" s="28"/>
      <c r="CE41" s="28" t="s">
        <v>1055</v>
      </c>
      <c r="CF41" s="28" t="s">
        <v>1056</v>
      </c>
      <c r="CG41" s="28" t="s">
        <v>1057</v>
      </c>
      <c r="CH41" s="28" t="s">
        <v>1077</v>
      </c>
      <c r="CI41" s="28"/>
      <c r="CJ41" s="28" t="s">
        <v>1059</v>
      </c>
      <c r="CK41" s="28"/>
      <c r="CL41" s="28" t="s">
        <v>1060</v>
      </c>
      <c r="CM41" s="28"/>
      <c r="CN41" s="28"/>
      <c r="CO41" s="28"/>
      <c r="CP41" s="28"/>
      <c r="CQ41" s="28"/>
      <c r="CR41" s="28"/>
      <c r="CS41" s="28"/>
      <c r="CT41" s="28"/>
      <c r="CU41" s="28"/>
      <c r="CV41" s="28"/>
      <c r="CW41" s="28"/>
      <c r="CX41" s="28"/>
      <c r="CY41" s="28"/>
      <c r="CZ41" s="28"/>
    </row>
    <row r="42" spans="2:104">
      <c r="B42" s="29" t="s">
        <v>583</v>
      </c>
      <c r="C42" s="27" t="s">
        <v>608</v>
      </c>
      <c r="D42" s="27" t="s">
        <v>1061</v>
      </c>
      <c r="F42" s="28"/>
      <c r="G42" s="28"/>
      <c r="H42" s="28"/>
      <c r="I42" s="28"/>
      <c r="J42" s="28"/>
      <c r="K42" s="28"/>
      <c r="L42" s="28" t="s">
        <v>1028</v>
      </c>
      <c r="M42" s="28"/>
      <c r="N42" s="28" t="s">
        <v>1062</v>
      </c>
      <c r="O42" s="28"/>
      <c r="P42" s="28" t="s">
        <v>1063</v>
      </c>
      <c r="Q42" s="28"/>
      <c r="R42" s="28"/>
      <c r="S42" s="28"/>
      <c r="T42" s="28"/>
      <c r="U42" s="28" t="s">
        <v>1064</v>
      </c>
      <c r="V42" s="28"/>
      <c r="W42" s="28"/>
      <c r="X42" s="28"/>
      <c r="Y42" s="28" t="s">
        <v>1065</v>
      </c>
      <c r="Z42" s="28" t="s">
        <v>1066</v>
      </c>
      <c r="AA42" s="28"/>
      <c r="AB42" s="28"/>
      <c r="AC42" s="28" t="s">
        <v>1067</v>
      </c>
      <c r="AD42" s="28"/>
      <c r="AE42" s="28" t="s">
        <v>1068</v>
      </c>
      <c r="AF42" s="28"/>
      <c r="AG42" s="28"/>
      <c r="AH42" s="28" t="s">
        <v>1069</v>
      </c>
      <c r="AI42" s="28"/>
      <c r="AJ42" s="28"/>
      <c r="AK42" s="28" t="s">
        <v>1070</v>
      </c>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t="s">
        <v>1125</v>
      </c>
      <c r="BJ42" s="28"/>
      <c r="BK42" s="28" t="s">
        <v>1071</v>
      </c>
      <c r="BL42" s="28"/>
      <c r="BM42" s="28" t="s">
        <v>1072</v>
      </c>
      <c r="BN42" s="28"/>
      <c r="BO42" s="28"/>
      <c r="BP42" s="28"/>
      <c r="BQ42" s="28"/>
      <c r="BR42" s="28"/>
      <c r="BS42" s="28"/>
      <c r="BT42" s="28"/>
      <c r="BU42" s="28"/>
      <c r="BV42" s="28"/>
      <c r="BW42" s="28"/>
      <c r="BX42" s="28"/>
      <c r="BY42" s="28" t="s">
        <v>1073</v>
      </c>
      <c r="BZ42" s="28"/>
      <c r="CA42" s="28" t="s">
        <v>1074</v>
      </c>
      <c r="CB42" s="28"/>
      <c r="CC42" s="28" t="s">
        <v>1075</v>
      </c>
      <c r="CD42" s="28"/>
      <c r="CE42" s="28"/>
      <c r="CF42" s="28"/>
      <c r="CG42" s="28" t="s">
        <v>1076</v>
      </c>
      <c r="CH42" s="28" t="s">
        <v>1090</v>
      </c>
      <c r="CI42" s="28"/>
      <c r="CJ42" s="28"/>
      <c r="CK42" s="28"/>
      <c r="CL42" s="28"/>
      <c r="CM42" s="28"/>
      <c r="CN42" s="28"/>
      <c r="CO42" s="28"/>
      <c r="CP42" s="28"/>
      <c r="CQ42" s="28"/>
      <c r="CR42" s="28"/>
      <c r="CS42" s="28"/>
      <c r="CT42" s="28"/>
      <c r="CU42" s="28"/>
      <c r="CV42" s="28"/>
      <c r="CW42" s="28"/>
      <c r="CX42" s="28"/>
      <c r="CY42" s="28"/>
      <c r="CZ42" s="28"/>
    </row>
    <row r="43" spans="2:104">
      <c r="B43" s="29" t="s">
        <v>583</v>
      </c>
      <c r="C43" s="27" t="s">
        <v>608</v>
      </c>
      <c r="D43" s="27" t="s">
        <v>1078</v>
      </c>
      <c r="F43" s="28"/>
      <c r="G43" s="28"/>
      <c r="H43" s="28"/>
      <c r="I43" s="28"/>
      <c r="J43" s="28"/>
      <c r="K43" s="28"/>
      <c r="L43" s="28" t="s">
        <v>1061</v>
      </c>
      <c r="M43" s="28"/>
      <c r="N43" s="28" t="s">
        <v>1079</v>
      </c>
      <c r="O43" s="28"/>
      <c r="P43" s="28" t="s">
        <v>1080</v>
      </c>
      <c r="Q43" s="28"/>
      <c r="R43" s="28"/>
      <c r="S43" s="28"/>
      <c r="T43" s="28"/>
      <c r="U43" s="28"/>
      <c r="V43" s="28"/>
      <c r="W43" s="28"/>
      <c r="X43" s="28"/>
      <c r="Y43" s="28" t="s">
        <v>1081</v>
      </c>
      <c r="Z43" s="28" t="s">
        <v>1082</v>
      </c>
      <c r="AA43" s="28"/>
      <c r="AB43" s="28"/>
      <c r="AC43" s="28" t="s">
        <v>1083</v>
      </c>
      <c r="AD43" s="28"/>
      <c r="AE43" s="28" t="s">
        <v>1084</v>
      </c>
      <c r="AF43" s="28"/>
      <c r="AG43" s="28"/>
      <c r="AH43" s="28" t="s">
        <v>1085</v>
      </c>
      <c r="AI43" s="28"/>
      <c r="AJ43" s="28"/>
      <c r="AK43" s="28" t="s">
        <v>1086</v>
      </c>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t="s">
        <v>1087</v>
      </c>
      <c r="BN43" s="28"/>
      <c r="BO43" s="28"/>
      <c r="BP43" s="28"/>
      <c r="BQ43" s="28"/>
      <c r="BR43" s="28"/>
      <c r="BS43" s="28"/>
      <c r="BT43" s="28"/>
      <c r="BU43" s="28"/>
      <c r="BV43" s="28"/>
      <c r="BW43" s="28"/>
      <c r="BX43" s="28"/>
      <c r="BY43" s="28" t="s">
        <v>1088</v>
      </c>
      <c r="BZ43" s="28"/>
      <c r="CA43" s="28"/>
      <c r="CB43" s="28"/>
      <c r="CC43" s="28" t="s">
        <v>1089</v>
      </c>
      <c r="CD43" s="28"/>
      <c r="CE43" s="28"/>
      <c r="CF43" s="28"/>
      <c r="CG43" s="28"/>
      <c r="CH43" s="28" t="s">
        <v>1099</v>
      </c>
      <c r="CI43" s="28"/>
      <c r="CJ43" s="28"/>
      <c r="CK43" s="28"/>
      <c r="CL43" s="28"/>
      <c r="CM43" s="28"/>
      <c r="CN43" s="28"/>
      <c r="CO43" s="28"/>
      <c r="CP43" s="28"/>
      <c r="CQ43" s="28"/>
      <c r="CR43" s="28"/>
      <c r="CS43" s="28"/>
      <c r="CT43" s="28"/>
      <c r="CU43" s="28"/>
      <c r="CV43" s="28"/>
      <c r="CW43" s="28"/>
      <c r="CX43" s="28"/>
      <c r="CY43" s="28"/>
      <c r="CZ43" s="28"/>
    </row>
    <row r="44" spans="2:104">
      <c r="B44" s="27" t="s">
        <v>583</v>
      </c>
      <c r="C44" s="27" t="s">
        <v>498</v>
      </c>
      <c r="D44" s="27" t="s">
        <v>614</v>
      </c>
      <c r="F44" s="28"/>
      <c r="G44" s="28"/>
      <c r="H44" s="28"/>
      <c r="I44" s="28"/>
      <c r="J44" s="28"/>
      <c r="K44" s="28"/>
      <c r="L44" s="28" t="s">
        <v>1078</v>
      </c>
      <c r="M44" s="28"/>
      <c r="N44" s="28" t="s">
        <v>1091</v>
      </c>
      <c r="O44" s="28"/>
      <c r="P44" s="28" t="s">
        <v>1092</v>
      </c>
      <c r="Q44" s="28"/>
      <c r="R44" s="28"/>
      <c r="S44" s="28"/>
      <c r="T44" s="28"/>
      <c r="U44" s="28"/>
      <c r="V44" s="28"/>
      <c r="W44" s="28"/>
      <c r="X44" s="28"/>
      <c r="Y44" s="28" t="s">
        <v>1093</v>
      </c>
      <c r="Z44" s="28" t="s">
        <v>1094</v>
      </c>
      <c r="AA44" s="28"/>
      <c r="AB44" s="28"/>
      <c r="AC44" s="28" t="s">
        <v>1095</v>
      </c>
      <c r="AD44" s="28"/>
      <c r="AE44" s="28"/>
      <c r="AF44" s="28"/>
      <c r="AG44" s="28"/>
      <c r="AH44" s="28"/>
      <c r="AI44" s="28"/>
      <c r="AJ44" s="28"/>
      <c r="AK44" s="28" t="s">
        <v>1096</v>
      </c>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t="s">
        <v>1097</v>
      </c>
      <c r="BN44" s="28"/>
      <c r="BO44" s="28"/>
      <c r="BP44" s="28"/>
      <c r="BQ44" s="28"/>
      <c r="BR44" s="28"/>
      <c r="BS44" s="28"/>
      <c r="BT44" s="28"/>
      <c r="BU44" s="28"/>
      <c r="BV44" s="28"/>
      <c r="BW44" s="28"/>
      <c r="BX44" s="28"/>
      <c r="BY44" s="28" t="s">
        <v>1098</v>
      </c>
      <c r="BZ44" s="28"/>
      <c r="CA44" s="28"/>
      <c r="CB44" s="28"/>
      <c r="CC44" s="28"/>
      <c r="CD44" s="28"/>
      <c r="CE44" s="28"/>
      <c r="CF44" s="28"/>
      <c r="CG44" s="28"/>
      <c r="CH44" s="28" t="s">
        <v>858</v>
      </c>
      <c r="CI44" s="28"/>
      <c r="CJ44" s="28"/>
      <c r="CK44" s="28"/>
      <c r="CL44" s="28"/>
      <c r="CM44" s="28"/>
      <c r="CN44" s="28"/>
      <c r="CO44" s="28"/>
      <c r="CP44" s="28"/>
      <c r="CQ44" s="28"/>
      <c r="CR44" s="28"/>
      <c r="CS44" s="28"/>
      <c r="CT44" s="28"/>
      <c r="CU44" s="28"/>
      <c r="CV44" s="28"/>
      <c r="CW44" s="28"/>
      <c r="CX44" s="28"/>
      <c r="CY44" s="28"/>
      <c r="CZ44" s="28"/>
    </row>
    <row r="45" spans="2:104">
      <c r="B45" s="29" t="s">
        <v>583</v>
      </c>
      <c r="C45" s="27" t="s">
        <v>498</v>
      </c>
      <c r="D45" s="27" t="s">
        <v>705</v>
      </c>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row>
    <row r="46" spans="2:104">
      <c r="B46" s="29" t="s">
        <v>583</v>
      </c>
      <c r="C46" s="27" t="s">
        <v>498</v>
      </c>
      <c r="D46" s="27" t="s">
        <v>795</v>
      </c>
    </row>
    <row r="47" spans="2:104">
      <c r="B47" s="29" t="s">
        <v>583</v>
      </c>
      <c r="C47" s="27" t="s">
        <v>498</v>
      </c>
      <c r="D47" s="27" t="s">
        <v>873</v>
      </c>
    </row>
    <row r="48" spans="2:104">
      <c r="B48" s="29" t="s">
        <v>583</v>
      </c>
      <c r="C48" s="27" t="s">
        <v>498</v>
      </c>
      <c r="D48" s="27" t="s">
        <v>938</v>
      </c>
    </row>
    <row r="49" spans="2:104">
      <c r="B49" s="29" t="s">
        <v>583</v>
      </c>
      <c r="C49" s="27" t="s">
        <v>498</v>
      </c>
      <c r="D49" s="27" t="s">
        <v>992</v>
      </c>
    </row>
    <row r="50" spans="2:104">
      <c r="B50" s="28" t="s">
        <v>592</v>
      </c>
      <c r="C50" s="27" t="s">
        <v>462</v>
      </c>
      <c r="D50" s="27" t="s">
        <v>615</v>
      </c>
    </row>
    <row r="51" spans="2:104">
      <c r="B51" s="29" t="s">
        <v>592</v>
      </c>
      <c r="C51" s="27" t="s">
        <v>462</v>
      </c>
      <c r="D51" s="27" t="s">
        <v>706</v>
      </c>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row>
    <row r="52" spans="2:104">
      <c r="B52" s="27" t="s">
        <v>592</v>
      </c>
      <c r="C52" s="27" t="s">
        <v>462</v>
      </c>
      <c r="D52" s="27" t="s">
        <v>796</v>
      </c>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row>
    <row r="53" spans="2:104">
      <c r="B53" s="29" t="s">
        <v>592</v>
      </c>
      <c r="C53" s="27" t="s">
        <v>462</v>
      </c>
      <c r="D53" s="27" t="s">
        <v>874</v>
      </c>
    </row>
    <row r="54" spans="2:104">
      <c r="B54" s="29" t="s">
        <v>592</v>
      </c>
      <c r="C54" s="27" t="s">
        <v>462</v>
      </c>
      <c r="D54" s="27" t="s">
        <v>939</v>
      </c>
    </row>
    <row r="55" spans="2:104">
      <c r="B55" s="29" t="s">
        <v>592</v>
      </c>
      <c r="C55" s="27" t="s">
        <v>462</v>
      </c>
      <c r="D55" s="27" t="s">
        <v>1117</v>
      </c>
    </row>
    <row r="56" spans="2:104">
      <c r="B56" s="29" t="s">
        <v>592</v>
      </c>
      <c r="C56" s="27" t="s">
        <v>462</v>
      </c>
      <c r="D56" s="27" t="s">
        <v>1029</v>
      </c>
    </row>
    <row r="57" spans="2:104">
      <c r="B57" s="29" t="s">
        <v>592</v>
      </c>
      <c r="C57" s="27" t="s">
        <v>462</v>
      </c>
      <c r="D57" s="27" t="s">
        <v>1062</v>
      </c>
    </row>
    <row r="58" spans="2:104">
      <c r="B58" s="29" t="s">
        <v>592</v>
      </c>
      <c r="C58" s="27" t="s">
        <v>462</v>
      </c>
      <c r="D58" s="27" t="s">
        <v>1079</v>
      </c>
    </row>
    <row r="59" spans="2:104">
      <c r="B59" s="29" t="s">
        <v>592</v>
      </c>
      <c r="C59" s="27" t="s">
        <v>462</v>
      </c>
      <c r="D59" s="27" t="s">
        <v>1091</v>
      </c>
    </row>
    <row r="60" spans="2:104">
      <c r="B60" s="29" t="s">
        <v>592</v>
      </c>
      <c r="C60" s="27" t="s">
        <v>482</v>
      </c>
      <c r="D60" s="27" t="s">
        <v>616</v>
      </c>
    </row>
    <row r="61" spans="2:104">
      <c r="B61" s="29" t="s">
        <v>592</v>
      </c>
      <c r="C61" s="27" t="s">
        <v>482</v>
      </c>
      <c r="D61" s="27" t="s">
        <v>707</v>
      </c>
    </row>
    <row r="62" spans="2:104">
      <c r="B62" s="29" t="s">
        <v>592</v>
      </c>
      <c r="C62" s="27" t="s">
        <v>482</v>
      </c>
      <c r="D62" s="27" t="s">
        <v>797</v>
      </c>
    </row>
    <row r="63" spans="2:104">
      <c r="B63" s="29" t="s">
        <v>592</v>
      </c>
      <c r="C63" s="27" t="s">
        <v>482</v>
      </c>
      <c r="D63" s="27" t="s">
        <v>875</v>
      </c>
    </row>
    <row r="64" spans="2:104">
      <c r="B64" s="27" t="s">
        <v>592</v>
      </c>
      <c r="C64" s="27" t="s">
        <v>482</v>
      </c>
      <c r="D64" s="27" t="s">
        <v>940</v>
      </c>
    </row>
    <row r="65" spans="2:4">
      <c r="B65" s="29" t="s">
        <v>592</v>
      </c>
      <c r="C65" s="27" t="s">
        <v>482</v>
      </c>
      <c r="D65" s="27" t="s">
        <v>993</v>
      </c>
    </row>
    <row r="66" spans="2:4">
      <c r="B66" s="29" t="s">
        <v>592</v>
      </c>
      <c r="C66" s="27" t="s">
        <v>482</v>
      </c>
      <c r="D66" s="27" t="s">
        <v>1030</v>
      </c>
    </row>
    <row r="67" spans="2:4">
      <c r="B67" s="29" t="s">
        <v>592</v>
      </c>
      <c r="C67" s="27" t="s">
        <v>499</v>
      </c>
      <c r="D67" s="27" t="s">
        <v>617</v>
      </c>
    </row>
    <row r="68" spans="2:4">
      <c r="B68" s="29" t="s">
        <v>592</v>
      </c>
      <c r="C68" s="27" t="s">
        <v>499</v>
      </c>
      <c r="D68" s="27" t="s">
        <v>708</v>
      </c>
    </row>
    <row r="69" spans="2:4">
      <c r="B69" s="29" t="s">
        <v>592</v>
      </c>
      <c r="C69" s="27" t="s">
        <v>499</v>
      </c>
      <c r="D69" s="27" t="s">
        <v>798</v>
      </c>
    </row>
    <row r="70" spans="2:4">
      <c r="B70" s="27" t="s">
        <v>592</v>
      </c>
      <c r="C70" s="27" t="s">
        <v>499</v>
      </c>
      <c r="D70" s="27" t="s">
        <v>876</v>
      </c>
    </row>
    <row r="71" spans="2:4">
      <c r="B71" s="29" t="s">
        <v>592</v>
      </c>
      <c r="C71" s="27" t="s">
        <v>499</v>
      </c>
      <c r="D71" s="27" t="s">
        <v>941</v>
      </c>
    </row>
    <row r="72" spans="2:4">
      <c r="B72" s="29" t="s">
        <v>592</v>
      </c>
      <c r="C72" s="27" t="s">
        <v>499</v>
      </c>
      <c r="D72" s="27" t="s">
        <v>994</v>
      </c>
    </row>
    <row r="73" spans="2:4">
      <c r="B73" s="27" t="s">
        <v>592</v>
      </c>
      <c r="C73" s="27" t="s">
        <v>499</v>
      </c>
      <c r="D73" s="27" t="s">
        <v>1031</v>
      </c>
    </row>
    <row r="74" spans="2:4">
      <c r="B74" s="29" t="s">
        <v>592</v>
      </c>
      <c r="C74" s="27" t="s">
        <v>499</v>
      </c>
      <c r="D74" s="27" t="s">
        <v>1063</v>
      </c>
    </row>
    <row r="75" spans="2:4">
      <c r="B75" s="29" t="s">
        <v>592</v>
      </c>
      <c r="C75" s="27" t="s">
        <v>499</v>
      </c>
      <c r="D75" s="27" t="s">
        <v>1080</v>
      </c>
    </row>
    <row r="76" spans="2:4">
      <c r="B76" s="29" t="s">
        <v>592</v>
      </c>
      <c r="C76" s="27" t="s">
        <v>499</v>
      </c>
      <c r="D76" s="27" t="s">
        <v>1092</v>
      </c>
    </row>
    <row r="77" spans="2:4">
      <c r="B77" s="27" t="s">
        <v>592</v>
      </c>
      <c r="C77" s="27" t="s">
        <v>1100</v>
      </c>
      <c r="D77" s="27" t="s">
        <v>618</v>
      </c>
    </row>
    <row r="78" spans="2:4">
      <c r="B78" s="29" t="s">
        <v>592</v>
      </c>
      <c r="C78" s="27" t="s">
        <v>1100</v>
      </c>
      <c r="D78" s="27" t="s">
        <v>709</v>
      </c>
    </row>
    <row r="79" spans="2:4">
      <c r="B79" s="29" t="s">
        <v>592</v>
      </c>
      <c r="C79" s="27" t="s">
        <v>1100</v>
      </c>
      <c r="D79" s="27" t="s">
        <v>799</v>
      </c>
    </row>
    <row r="80" spans="2:4">
      <c r="B80" s="27" t="s">
        <v>592</v>
      </c>
      <c r="C80" s="27" t="s">
        <v>1100</v>
      </c>
      <c r="D80" s="27" t="s">
        <v>877</v>
      </c>
    </row>
    <row r="81" spans="2:4">
      <c r="B81" s="29" t="s">
        <v>592</v>
      </c>
      <c r="C81" s="27" t="s">
        <v>1100</v>
      </c>
      <c r="D81" s="27" t="s">
        <v>942</v>
      </c>
    </row>
    <row r="82" spans="2:4">
      <c r="B82" s="29" t="s">
        <v>592</v>
      </c>
      <c r="C82" s="27" t="s">
        <v>521</v>
      </c>
      <c r="D82" s="27" t="s">
        <v>619</v>
      </c>
    </row>
    <row r="83" spans="2:4">
      <c r="B83" s="27" t="s">
        <v>592</v>
      </c>
      <c r="C83" s="27" t="s">
        <v>521</v>
      </c>
      <c r="D83" s="27" t="s">
        <v>710</v>
      </c>
    </row>
    <row r="84" spans="2:4">
      <c r="B84" s="29" t="s">
        <v>592</v>
      </c>
      <c r="C84" s="27" t="s">
        <v>521</v>
      </c>
      <c r="D84" s="27" t="s">
        <v>800</v>
      </c>
    </row>
    <row r="85" spans="2:4">
      <c r="B85" s="27" t="s">
        <v>592</v>
      </c>
      <c r="C85" s="27" t="s">
        <v>521</v>
      </c>
      <c r="D85" s="27" t="s">
        <v>878</v>
      </c>
    </row>
    <row r="86" spans="2:4">
      <c r="B86" s="29" t="s">
        <v>592</v>
      </c>
      <c r="C86" s="27" t="s">
        <v>521</v>
      </c>
      <c r="D86" s="27" t="s">
        <v>943</v>
      </c>
    </row>
    <row r="87" spans="2:4">
      <c r="B87" s="29" t="s">
        <v>592</v>
      </c>
      <c r="C87" s="27" t="s">
        <v>528</v>
      </c>
      <c r="D87" s="27" t="s">
        <v>620</v>
      </c>
    </row>
    <row r="88" spans="2:4">
      <c r="B88" s="27" t="s">
        <v>592</v>
      </c>
      <c r="C88" s="27" t="s">
        <v>528</v>
      </c>
      <c r="D88" s="27" t="s">
        <v>711</v>
      </c>
    </row>
    <row r="89" spans="2:4">
      <c r="B89" s="29" t="s">
        <v>592</v>
      </c>
      <c r="C89" s="27" t="s">
        <v>528</v>
      </c>
      <c r="D89" s="27" t="s">
        <v>801</v>
      </c>
    </row>
    <row r="90" spans="2:4">
      <c r="B90" s="27" t="s">
        <v>592</v>
      </c>
      <c r="C90" s="27" t="s">
        <v>528</v>
      </c>
      <c r="D90" s="27" t="s">
        <v>879</v>
      </c>
    </row>
    <row r="91" spans="2:4">
      <c r="B91" s="29" t="s">
        <v>592</v>
      </c>
      <c r="C91" s="27" t="s">
        <v>528</v>
      </c>
      <c r="D91" s="27" t="s">
        <v>944</v>
      </c>
    </row>
    <row r="92" spans="2:4">
      <c r="B92" s="29" t="s">
        <v>592</v>
      </c>
      <c r="C92" s="27" t="s">
        <v>528</v>
      </c>
      <c r="D92" s="27" t="s">
        <v>995</v>
      </c>
    </row>
    <row r="93" spans="2:4">
      <c r="B93" s="29" t="s">
        <v>592</v>
      </c>
      <c r="C93" s="27" t="s">
        <v>528</v>
      </c>
      <c r="D93" s="27" t="s">
        <v>1032</v>
      </c>
    </row>
    <row r="94" spans="2:4">
      <c r="B94" s="29" t="s">
        <v>592</v>
      </c>
      <c r="C94" s="27" t="s">
        <v>534</v>
      </c>
      <c r="D94" s="27" t="s">
        <v>621</v>
      </c>
    </row>
    <row r="95" spans="2:4">
      <c r="B95" s="29" t="s">
        <v>592</v>
      </c>
      <c r="C95" s="27" t="s">
        <v>534</v>
      </c>
      <c r="D95" s="27" t="s">
        <v>712</v>
      </c>
    </row>
    <row r="96" spans="2:4">
      <c r="B96" s="29" t="s">
        <v>592</v>
      </c>
      <c r="C96" s="27" t="s">
        <v>534</v>
      </c>
      <c r="D96" s="27" t="s">
        <v>802</v>
      </c>
    </row>
    <row r="97" spans="2:4">
      <c r="B97" s="29" t="s">
        <v>592</v>
      </c>
      <c r="C97" s="27" t="s">
        <v>534</v>
      </c>
      <c r="D97" s="27" t="s">
        <v>880</v>
      </c>
    </row>
    <row r="98" spans="2:4">
      <c r="B98" s="29" t="s">
        <v>592</v>
      </c>
      <c r="C98" s="27" t="s">
        <v>534</v>
      </c>
      <c r="D98" s="27" t="s">
        <v>945</v>
      </c>
    </row>
    <row r="99" spans="2:4">
      <c r="B99" s="27" t="s">
        <v>592</v>
      </c>
      <c r="C99" s="27" t="s">
        <v>539</v>
      </c>
      <c r="D99" s="27" t="s">
        <v>622</v>
      </c>
    </row>
    <row r="100" spans="2:4">
      <c r="B100" s="29" t="s">
        <v>592</v>
      </c>
      <c r="C100" s="27" t="s">
        <v>539</v>
      </c>
      <c r="D100" s="27" t="s">
        <v>713</v>
      </c>
    </row>
    <row r="101" spans="2:4">
      <c r="B101" s="27" t="s">
        <v>592</v>
      </c>
      <c r="C101" s="27" t="s">
        <v>539</v>
      </c>
      <c r="D101" s="27" t="s">
        <v>803</v>
      </c>
    </row>
    <row r="102" spans="2:4">
      <c r="B102" s="27" t="s">
        <v>592</v>
      </c>
      <c r="C102" s="27" t="s">
        <v>539</v>
      </c>
      <c r="D102" s="27" t="s">
        <v>881</v>
      </c>
    </row>
    <row r="103" spans="2:4">
      <c r="B103" s="27" t="s">
        <v>592</v>
      </c>
      <c r="C103" s="27" t="s">
        <v>539</v>
      </c>
      <c r="D103" s="27" t="s">
        <v>946</v>
      </c>
    </row>
    <row r="104" spans="2:4">
      <c r="B104" s="27" t="s">
        <v>592</v>
      </c>
      <c r="C104" s="27" t="s">
        <v>539</v>
      </c>
      <c r="D104" s="27" t="s">
        <v>996</v>
      </c>
    </row>
    <row r="105" spans="2:4">
      <c r="B105" s="27" t="s">
        <v>592</v>
      </c>
      <c r="C105" s="27" t="s">
        <v>539</v>
      </c>
      <c r="D105" s="27" t="s">
        <v>1033</v>
      </c>
    </row>
    <row r="106" spans="2:4">
      <c r="B106" s="27" t="s">
        <v>592</v>
      </c>
      <c r="C106" s="27" t="s">
        <v>539</v>
      </c>
      <c r="D106" s="27" t="s">
        <v>1064</v>
      </c>
    </row>
    <row r="107" spans="2:4">
      <c r="B107" s="27" t="s">
        <v>592</v>
      </c>
      <c r="C107" s="27" t="s">
        <v>544</v>
      </c>
      <c r="D107" s="27" t="s">
        <v>623</v>
      </c>
    </row>
    <row r="108" spans="2:4">
      <c r="B108" s="27" t="s">
        <v>592</v>
      </c>
      <c r="C108" s="27" t="s">
        <v>544</v>
      </c>
      <c r="D108" s="27" t="s">
        <v>714</v>
      </c>
    </row>
    <row r="109" spans="2:4">
      <c r="B109" s="27" t="s">
        <v>592</v>
      </c>
      <c r="C109" s="27" t="s">
        <v>544</v>
      </c>
      <c r="D109" s="27" t="s">
        <v>1118</v>
      </c>
    </row>
    <row r="110" spans="2:4">
      <c r="B110" s="27" t="s">
        <v>592</v>
      </c>
      <c r="C110" s="27" t="s">
        <v>544</v>
      </c>
      <c r="D110" s="27" t="s">
        <v>882</v>
      </c>
    </row>
    <row r="111" spans="2:4">
      <c r="B111" s="27" t="s">
        <v>592</v>
      </c>
      <c r="C111" s="27" t="s">
        <v>544</v>
      </c>
      <c r="D111" s="27" t="s">
        <v>947</v>
      </c>
    </row>
    <row r="112" spans="2:4">
      <c r="B112" s="27" t="s">
        <v>592</v>
      </c>
      <c r="C112" s="27" t="s">
        <v>544</v>
      </c>
      <c r="D112" s="27" t="s">
        <v>997</v>
      </c>
    </row>
    <row r="113" spans="2:4">
      <c r="B113" s="27" t="s">
        <v>592</v>
      </c>
      <c r="C113" s="27" t="s">
        <v>1101</v>
      </c>
      <c r="D113" s="27" t="s">
        <v>624</v>
      </c>
    </row>
    <row r="114" spans="2:4">
      <c r="B114" s="27" t="s">
        <v>592</v>
      </c>
      <c r="C114" s="27" t="s">
        <v>1101</v>
      </c>
      <c r="D114" s="27" t="s">
        <v>715</v>
      </c>
    </row>
    <row r="115" spans="2:4">
      <c r="B115" s="27" t="s">
        <v>592</v>
      </c>
      <c r="C115" s="27" t="s">
        <v>1101</v>
      </c>
      <c r="D115" s="27" t="s">
        <v>804</v>
      </c>
    </row>
    <row r="116" spans="2:4">
      <c r="B116" s="27" t="s">
        <v>592</v>
      </c>
      <c r="C116" s="27" t="s">
        <v>1101</v>
      </c>
      <c r="D116" s="27" t="s">
        <v>883</v>
      </c>
    </row>
    <row r="117" spans="2:4">
      <c r="B117" s="27" t="s">
        <v>592</v>
      </c>
      <c r="C117" s="27" t="s">
        <v>1101</v>
      </c>
      <c r="D117" s="27" t="s">
        <v>948</v>
      </c>
    </row>
    <row r="118" spans="2:4">
      <c r="B118" s="27" t="s">
        <v>592</v>
      </c>
      <c r="C118" s="27" t="s">
        <v>1101</v>
      </c>
      <c r="D118" s="27" t="s">
        <v>998</v>
      </c>
    </row>
    <row r="119" spans="2:4">
      <c r="B119" s="27" t="s">
        <v>592</v>
      </c>
      <c r="C119" s="27" t="s">
        <v>1101</v>
      </c>
      <c r="D119" s="27" t="s">
        <v>1034</v>
      </c>
    </row>
    <row r="120" spans="2:4">
      <c r="B120" s="27" t="s">
        <v>592</v>
      </c>
      <c r="C120" s="27" t="s">
        <v>551</v>
      </c>
      <c r="D120" s="27" t="s">
        <v>625</v>
      </c>
    </row>
    <row r="121" spans="2:4">
      <c r="B121" s="27" t="s">
        <v>592</v>
      </c>
      <c r="C121" s="27" t="s">
        <v>551</v>
      </c>
      <c r="D121" s="27" t="s">
        <v>716</v>
      </c>
    </row>
    <row r="122" spans="2:4">
      <c r="B122" s="27" t="s">
        <v>592</v>
      </c>
      <c r="C122" s="27" t="s">
        <v>551</v>
      </c>
      <c r="D122" s="27" t="s">
        <v>805</v>
      </c>
    </row>
    <row r="123" spans="2:4">
      <c r="B123" s="27" t="s">
        <v>592</v>
      </c>
      <c r="C123" s="27" t="s">
        <v>551</v>
      </c>
      <c r="D123" s="27" t="s">
        <v>884</v>
      </c>
    </row>
    <row r="124" spans="2:4">
      <c r="B124" s="27" t="s">
        <v>592</v>
      </c>
      <c r="C124" s="27" t="s">
        <v>551</v>
      </c>
      <c r="D124" s="27" t="s">
        <v>949</v>
      </c>
    </row>
    <row r="125" spans="2:4">
      <c r="B125" s="27" t="s">
        <v>592</v>
      </c>
      <c r="C125" s="27" t="s">
        <v>556</v>
      </c>
      <c r="D125" s="27" t="s">
        <v>626</v>
      </c>
    </row>
    <row r="126" spans="2:4">
      <c r="B126" s="27" t="s">
        <v>592</v>
      </c>
      <c r="C126" s="27" t="s">
        <v>556</v>
      </c>
      <c r="D126" s="27" t="s">
        <v>717</v>
      </c>
    </row>
    <row r="127" spans="2:4">
      <c r="B127" s="27" t="s">
        <v>592</v>
      </c>
      <c r="C127" s="27" t="s">
        <v>556</v>
      </c>
      <c r="D127" s="27" t="s">
        <v>806</v>
      </c>
    </row>
    <row r="128" spans="2:4">
      <c r="B128" s="27" t="s">
        <v>592</v>
      </c>
      <c r="C128" s="27" t="s">
        <v>556</v>
      </c>
      <c r="D128" s="27" t="s">
        <v>885</v>
      </c>
    </row>
    <row r="129" spans="2:4">
      <c r="B129" s="27" t="s">
        <v>592</v>
      </c>
      <c r="C129" s="27" t="s">
        <v>556</v>
      </c>
      <c r="D129" s="27" t="s">
        <v>950</v>
      </c>
    </row>
    <row r="130" spans="2:4">
      <c r="B130" s="27" t="s">
        <v>592</v>
      </c>
      <c r="C130" s="27" t="s">
        <v>556</v>
      </c>
      <c r="D130" s="27" t="s">
        <v>999</v>
      </c>
    </row>
    <row r="131" spans="2:4">
      <c r="B131" s="27" t="s">
        <v>592</v>
      </c>
      <c r="C131" s="27" t="s">
        <v>556</v>
      </c>
      <c r="D131" s="27" t="s">
        <v>1035</v>
      </c>
    </row>
    <row r="132" spans="2:4">
      <c r="B132" s="27" t="s">
        <v>592</v>
      </c>
      <c r="C132" s="27" t="s">
        <v>556</v>
      </c>
      <c r="D132" s="27" t="s">
        <v>1065</v>
      </c>
    </row>
    <row r="133" spans="2:4">
      <c r="B133" s="27" t="s">
        <v>592</v>
      </c>
      <c r="C133" s="27" t="s">
        <v>556</v>
      </c>
      <c r="D133" s="27" t="s">
        <v>1081</v>
      </c>
    </row>
    <row r="134" spans="2:4">
      <c r="B134" s="27" t="s">
        <v>592</v>
      </c>
      <c r="C134" s="27" t="s">
        <v>556</v>
      </c>
      <c r="D134" s="27" t="s">
        <v>1093</v>
      </c>
    </row>
    <row r="135" spans="2:4">
      <c r="B135" s="27" t="s">
        <v>592</v>
      </c>
      <c r="C135" s="27" t="s">
        <v>559</v>
      </c>
      <c r="D135" s="27" t="s">
        <v>627</v>
      </c>
    </row>
    <row r="136" spans="2:4">
      <c r="B136" s="27" t="s">
        <v>592</v>
      </c>
      <c r="C136" s="27" t="s">
        <v>559</v>
      </c>
      <c r="D136" s="27" t="s">
        <v>718</v>
      </c>
    </row>
    <row r="137" spans="2:4">
      <c r="B137" s="27" t="s">
        <v>592</v>
      </c>
      <c r="C137" s="27" t="s">
        <v>559</v>
      </c>
      <c r="D137" s="27" t="s">
        <v>807</v>
      </c>
    </row>
    <row r="138" spans="2:4">
      <c r="B138" s="27" t="s">
        <v>592</v>
      </c>
      <c r="C138" s="27" t="s">
        <v>559</v>
      </c>
      <c r="D138" s="27" t="s">
        <v>886</v>
      </c>
    </row>
    <row r="139" spans="2:4">
      <c r="B139" s="27" t="s">
        <v>592</v>
      </c>
      <c r="C139" s="27" t="s">
        <v>559</v>
      </c>
      <c r="D139" s="27" t="s">
        <v>951</v>
      </c>
    </row>
    <row r="140" spans="2:4">
      <c r="B140" s="27" t="s">
        <v>592</v>
      </c>
      <c r="C140" s="27" t="s">
        <v>559</v>
      </c>
      <c r="D140" s="27" t="s">
        <v>1000</v>
      </c>
    </row>
    <row r="141" spans="2:4">
      <c r="B141" s="27" t="s">
        <v>592</v>
      </c>
      <c r="C141" s="27" t="s">
        <v>559</v>
      </c>
      <c r="D141" s="27" t="s">
        <v>1036</v>
      </c>
    </row>
    <row r="142" spans="2:4">
      <c r="B142" s="27" t="s">
        <v>592</v>
      </c>
      <c r="C142" s="27" t="s">
        <v>559</v>
      </c>
      <c r="D142" s="27" t="s">
        <v>1066</v>
      </c>
    </row>
    <row r="143" spans="2:4">
      <c r="B143" s="27" t="s">
        <v>592</v>
      </c>
      <c r="C143" s="27" t="s">
        <v>559</v>
      </c>
      <c r="D143" s="27" t="s">
        <v>1082</v>
      </c>
    </row>
    <row r="144" spans="2:4">
      <c r="B144" s="27" t="s">
        <v>592</v>
      </c>
      <c r="C144" s="27" t="s">
        <v>559</v>
      </c>
      <c r="D144" s="27" t="s">
        <v>1094</v>
      </c>
    </row>
    <row r="145" spans="2:4">
      <c r="B145" s="27" t="s">
        <v>592</v>
      </c>
      <c r="C145" s="27" t="s">
        <v>561</v>
      </c>
      <c r="D145" s="27" t="s">
        <v>628</v>
      </c>
    </row>
    <row r="146" spans="2:4">
      <c r="B146" s="27" t="s">
        <v>592</v>
      </c>
      <c r="C146" s="27" t="s">
        <v>561</v>
      </c>
      <c r="D146" s="27" t="s">
        <v>719</v>
      </c>
    </row>
    <row r="147" spans="2:4">
      <c r="B147" s="27" t="s">
        <v>592</v>
      </c>
      <c r="C147" s="27" t="s">
        <v>561</v>
      </c>
      <c r="D147" s="27" t="s">
        <v>808</v>
      </c>
    </row>
    <row r="148" spans="2:4">
      <c r="B148" s="27" t="s">
        <v>592</v>
      </c>
      <c r="C148" s="27" t="s">
        <v>561</v>
      </c>
      <c r="D148" s="27" t="s">
        <v>887</v>
      </c>
    </row>
    <row r="149" spans="2:4">
      <c r="B149" s="27" t="s">
        <v>592</v>
      </c>
      <c r="C149" s="27" t="s">
        <v>561</v>
      </c>
      <c r="D149" s="27" t="s">
        <v>952</v>
      </c>
    </row>
    <row r="150" spans="2:4">
      <c r="B150" s="27" t="s">
        <v>592</v>
      </c>
      <c r="C150" s="27" t="s">
        <v>561</v>
      </c>
      <c r="D150" s="27" t="s">
        <v>1001</v>
      </c>
    </row>
    <row r="151" spans="2:4">
      <c r="B151" s="27" t="s">
        <v>592</v>
      </c>
      <c r="C151" s="27" t="s">
        <v>561</v>
      </c>
      <c r="D151" s="27" t="s">
        <v>1037</v>
      </c>
    </row>
    <row r="152" spans="2:4">
      <c r="B152" s="27" t="s">
        <v>592</v>
      </c>
      <c r="C152" s="27" t="s">
        <v>563</v>
      </c>
      <c r="D152" s="27" t="s">
        <v>629</v>
      </c>
    </row>
    <row r="153" spans="2:4">
      <c r="B153" s="27" t="s">
        <v>592</v>
      </c>
      <c r="C153" s="27" t="s">
        <v>563</v>
      </c>
      <c r="D153" s="27" t="s">
        <v>720</v>
      </c>
    </row>
    <row r="154" spans="2:4">
      <c r="B154" s="27" t="s">
        <v>592</v>
      </c>
      <c r="C154" s="27" t="s">
        <v>563</v>
      </c>
      <c r="D154" s="27" t="s">
        <v>809</v>
      </c>
    </row>
    <row r="155" spans="2:4">
      <c r="B155" s="27" t="s">
        <v>592</v>
      </c>
      <c r="C155" s="27" t="s">
        <v>563</v>
      </c>
      <c r="D155" s="27" t="s">
        <v>888</v>
      </c>
    </row>
    <row r="156" spans="2:4">
      <c r="B156" s="27" t="s">
        <v>592</v>
      </c>
      <c r="C156" s="27" t="s">
        <v>563</v>
      </c>
      <c r="D156" s="27" t="s">
        <v>953</v>
      </c>
    </row>
    <row r="157" spans="2:4">
      <c r="B157" s="27" t="s">
        <v>592</v>
      </c>
      <c r="C157" s="27" t="s">
        <v>563</v>
      </c>
      <c r="D157" s="27" t="s">
        <v>1002</v>
      </c>
    </row>
    <row r="158" spans="2:4">
      <c r="B158" s="27" t="s">
        <v>592</v>
      </c>
      <c r="C158" s="27" t="s">
        <v>563</v>
      </c>
      <c r="D158" s="27" t="s">
        <v>1038</v>
      </c>
    </row>
    <row r="159" spans="2:4">
      <c r="B159" s="27" t="s">
        <v>592</v>
      </c>
      <c r="C159" s="27" t="s">
        <v>565</v>
      </c>
      <c r="D159" s="27" t="s">
        <v>630</v>
      </c>
    </row>
    <row r="160" spans="2:4">
      <c r="B160" s="27" t="s">
        <v>592</v>
      </c>
      <c r="C160" s="27" t="s">
        <v>565</v>
      </c>
      <c r="D160" s="27" t="s">
        <v>721</v>
      </c>
    </row>
    <row r="161" spans="2:4">
      <c r="B161" s="27" t="s">
        <v>592</v>
      </c>
      <c r="C161" s="27" t="s">
        <v>565</v>
      </c>
      <c r="D161" s="27" t="s">
        <v>810</v>
      </c>
    </row>
    <row r="162" spans="2:4">
      <c r="B162" s="27" t="s">
        <v>592</v>
      </c>
      <c r="C162" s="27" t="s">
        <v>565</v>
      </c>
      <c r="D162" s="27" t="s">
        <v>889</v>
      </c>
    </row>
    <row r="163" spans="2:4">
      <c r="B163" s="27" t="s">
        <v>592</v>
      </c>
      <c r="C163" s="27" t="s">
        <v>565</v>
      </c>
      <c r="D163" s="27" t="s">
        <v>954</v>
      </c>
    </row>
    <row r="164" spans="2:4">
      <c r="B164" s="27" t="s">
        <v>592</v>
      </c>
      <c r="C164" s="27" t="s">
        <v>565</v>
      </c>
      <c r="D164" s="27" t="s">
        <v>1003</v>
      </c>
    </row>
    <row r="165" spans="2:4">
      <c r="B165" s="27" t="s">
        <v>592</v>
      </c>
      <c r="C165" s="27" t="s">
        <v>565</v>
      </c>
      <c r="D165" s="27" t="s">
        <v>1039</v>
      </c>
    </row>
    <row r="166" spans="2:4">
      <c r="B166" s="27" t="s">
        <v>592</v>
      </c>
      <c r="C166" s="27" t="s">
        <v>565</v>
      </c>
      <c r="D166" s="27" t="s">
        <v>1067</v>
      </c>
    </row>
    <row r="167" spans="2:4">
      <c r="B167" s="27" t="s">
        <v>592</v>
      </c>
      <c r="C167" s="27" t="s">
        <v>565</v>
      </c>
      <c r="D167" s="27" t="s">
        <v>1083</v>
      </c>
    </row>
    <row r="168" spans="2:4">
      <c r="B168" s="27" t="s">
        <v>592</v>
      </c>
      <c r="C168" s="27" t="s">
        <v>565</v>
      </c>
      <c r="D168" s="27" t="s">
        <v>1095</v>
      </c>
    </row>
    <row r="169" spans="2:4">
      <c r="B169" s="27" t="s">
        <v>592</v>
      </c>
      <c r="C169" s="27" t="s">
        <v>567</v>
      </c>
      <c r="D169" s="27" t="s">
        <v>631</v>
      </c>
    </row>
    <row r="170" spans="2:4">
      <c r="B170" s="27" t="s">
        <v>592</v>
      </c>
      <c r="C170" s="27" t="s">
        <v>567</v>
      </c>
      <c r="D170" s="27" t="s">
        <v>722</v>
      </c>
    </row>
    <row r="171" spans="2:4">
      <c r="B171" s="27" t="s">
        <v>592</v>
      </c>
      <c r="C171" s="27" t="s">
        <v>567</v>
      </c>
      <c r="D171" s="27" t="s">
        <v>811</v>
      </c>
    </row>
    <row r="172" spans="2:4">
      <c r="B172" s="27" t="s">
        <v>592</v>
      </c>
      <c r="C172" s="27" t="s">
        <v>567</v>
      </c>
      <c r="D172" s="27" t="s">
        <v>890</v>
      </c>
    </row>
    <row r="173" spans="2:4">
      <c r="B173" s="27" t="s">
        <v>592</v>
      </c>
      <c r="C173" s="27" t="s">
        <v>567</v>
      </c>
      <c r="D173" s="27" t="s">
        <v>955</v>
      </c>
    </row>
    <row r="174" spans="2:4">
      <c r="B174" s="27" t="s">
        <v>592</v>
      </c>
      <c r="C174" s="27" t="s">
        <v>570</v>
      </c>
      <c r="D174" s="27" t="s">
        <v>632</v>
      </c>
    </row>
    <row r="175" spans="2:4">
      <c r="B175" s="27" t="s">
        <v>592</v>
      </c>
      <c r="C175" s="27" t="s">
        <v>570</v>
      </c>
      <c r="D175" s="27" t="s">
        <v>723</v>
      </c>
    </row>
    <row r="176" spans="2:4">
      <c r="B176" s="27" t="s">
        <v>592</v>
      </c>
      <c r="C176" s="27" t="s">
        <v>570</v>
      </c>
      <c r="D176" s="27" t="s">
        <v>812</v>
      </c>
    </row>
    <row r="177" spans="2:4">
      <c r="B177" s="27" t="s">
        <v>592</v>
      </c>
      <c r="C177" s="27" t="s">
        <v>570</v>
      </c>
      <c r="D177" s="27" t="s">
        <v>891</v>
      </c>
    </row>
    <row r="178" spans="2:4">
      <c r="B178" s="27" t="s">
        <v>592</v>
      </c>
      <c r="C178" s="27" t="s">
        <v>570</v>
      </c>
      <c r="D178" s="27" t="s">
        <v>956</v>
      </c>
    </row>
    <row r="179" spans="2:4">
      <c r="B179" s="27" t="s">
        <v>592</v>
      </c>
      <c r="C179" s="27" t="s">
        <v>570</v>
      </c>
      <c r="D179" s="27" t="s">
        <v>1004</v>
      </c>
    </row>
    <row r="180" spans="2:4">
      <c r="B180" s="27" t="s">
        <v>592</v>
      </c>
      <c r="C180" s="27" t="s">
        <v>570</v>
      </c>
      <c r="D180" s="27" t="s">
        <v>1040</v>
      </c>
    </row>
    <row r="181" spans="2:4">
      <c r="B181" s="27" t="s">
        <v>592</v>
      </c>
      <c r="C181" s="27" t="s">
        <v>570</v>
      </c>
      <c r="D181" s="27" t="s">
        <v>1068</v>
      </c>
    </row>
    <row r="182" spans="2:4">
      <c r="B182" s="27" t="s">
        <v>592</v>
      </c>
      <c r="C182" s="27" t="s">
        <v>570</v>
      </c>
      <c r="D182" s="27" t="s">
        <v>1084</v>
      </c>
    </row>
    <row r="183" spans="2:4">
      <c r="B183" s="27" t="s">
        <v>592</v>
      </c>
      <c r="C183" s="27" t="s">
        <v>572</v>
      </c>
      <c r="D183" s="27" t="s">
        <v>633</v>
      </c>
    </row>
    <row r="184" spans="2:4">
      <c r="B184" s="27" t="s">
        <v>592</v>
      </c>
      <c r="C184" s="27" t="s">
        <v>572</v>
      </c>
      <c r="D184" s="27" t="s">
        <v>724</v>
      </c>
    </row>
    <row r="185" spans="2:4">
      <c r="B185" s="27" t="s">
        <v>592</v>
      </c>
      <c r="C185" s="27" t="s">
        <v>572</v>
      </c>
      <c r="D185" s="27" t="s">
        <v>813</v>
      </c>
    </row>
    <row r="186" spans="2:4">
      <c r="B186" s="27" t="s">
        <v>592</v>
      </c>
      <c r="C186" s="27" t="s">
        <v>572</v>
      </c>
      <c r="D186" s="27" t="s">
        <v>892</v>
      </c>
    </row>
    <row r="187" spans="2:4">
      <c r="B187" s="27" t="s">
        <v>592</v>
      </c>
      <c r="C187" s="27" t="s">
        <v>572</v>
      </c>
      <c r="D187" s="27" t="s">
        <v>957</v>
      </c>
    </row>
    <row r="188" spans="2:4">
      <c r="B188" s="27" t="s">
        <v>592</v>
      </c>
      <c r="C188" s="27" t="s">
        <v>572</v>
      </c>
      <c r="D188" s="27" t="s">
        <v>1005</v>
      </c>
    </row>
    <row r="189" spans="2:4">
      <c r="B189" s="27" t="s">
        <v>592</v>
      </c>
      <c r="C189" s="27" t="s">
        <v>572</v>
      </c>
      <c r="D189" s="27" t="s">
        <v>1041</v>
      </c>
    </row>
    <row r="190" spans="2:4">
      <c r="B190" s="27" t="s">
        <v>592</v>
      </c>
      <c r="C190" s="27" t="s">
        <v>574</v>
      </c>
      <c r="D190" s="27" t="s">
        <v>634</v>
      </c>
    </row>
    <row r="191" spans="2:4">
      <c r="B191" s="27" t="s">
        <v>592</v>
      </c>
      <c r="C191" s="27" t="s">
        <v>574</v>
      </c>
      <c r="D191" s="27" t="s">
        <v>725</v>
      </c>
    </row>
    <row r="192" spans="2:4">
      <c r="B192" s="27" t="s">
        <v>592</v>
      </c>
      <c r="C192" s="27" t="s">
        <v>574</v>
      </c>
      <c r="D192" s="27" t="s">
        <v>814</v>
      </c>
    </row>
    <row r="193" spans="2:4">
      <c r="B193" s="27" t="s">
        <v>592</v>
      </c>
      <c r="C193" s="27" t="s">
        <v>574</v>
      </c>
      <c r="D193" s="27" t="s">
        <v>893</v>
      </c>
    </row>
    <row r="194" spans="2:4">
      <c r="B194" s="27" t="s">
        <v>592</v>
      </c>
      <c r="C194" s="27" t="s">
        <v>574</v>
      </c>
      <c r="D194" s="27" t="s">
        <v>958</v>
      </c>
    </row>
    <row r="195" spans="2:4">
      <c r="B195" s="27" t="s">
        <v>592</v>
      </c>
      <c r="C195" s="27" t="s">
        <v>574</v>
      </c>
      <c r="D195" s="27" t="s">
        <v>1006</v>
      </c>
    </row>
    <row r="196" spans="2:4">
      <c r="B196" s="27" t="s">
        <v>592</v>
      </c>
      <c r="C196" s="27" t="s">
        <v>574</v>
      </c>
      <c r="D196" s="27" t="s">
        <v>1042</v>
      </c>
    </row>
    <row r="197" spans="2:4">
      <c r="B197" s="27" t="s">
        <v>592</v>
      </c>
      <c r="C197" s="27" t="s">
        <v>576</v>
      </c>
      <c r="D197" s="27" t="s">
        <v>635</v>
      </c>
    </row>
    <row r="198" spans="2:4">
      <c r="B198" s="27" t="s">
        <v>592</v>
      </c>
      <c r="C198" s="27" t="s">
        <v>576</v>
      </c>
      <c r="D198" s="27" t="s">
        <v>726</v>
      </c>
    </row>
    <row r="199" spans="2:4">
      <c r="B199" s="27" t="s">
        <v>592</v>
      </c>
      <c r="C199" s="27" t="s">
        <v>576</v>
      </c>
      <c r="D199" s="27" t="s">
        <v>815</v>
      </c>
    </row>
    <row r="200" spans="2:4">
      <c r="B200" s="27" t="s">
        <v>592</v>
      </c>
      <c r="C200" s="27" t="s">
        <v>576</v>
      </c>
      <c r="D200" s="27" t="s">
        <v>894</v>
      </c>
    </row>
    <row r="201" spans="2:4">
      <c r="B201" s="27" t="s">
        <v>592</v>
      </c>
      <c r="C201" s="27" t="s">
        <v>576</v>
      </c>
      <c r="D201" s="27" t="s">
        <v>959</v>
      </c>
    </row>
    <row r="202" spans="2:4">
      <c r="B202" s="27" t="s">
        <v>592</v>
      </c>
      <c r="C202" s="27" t="s">
        <v>576</v>
      </c>
      <c r="D202" s="27" t="s">
        <v>1007</v>
      </c>
    </row>
    <row r="203" spans="2:4">
      <c r="B203" s="27" t="s">
        <v>592</v>
      </c>
      <c r="C203" s="27" t="s">
        <v>576</v>
      </c>
      <c r="D203" s="27" t="s">
        <v>1043</v>
      </c>
    </row>
    <row r="204" spans="2:4">
      <c r="B204" s="27" t="s">
        <v>592</v>
      </c>
      <c r="C204" s="27" t="s">
        <v>576</v>
      </c>
      <c r="D204" s="27" t="s">
        <v>1069</v>
      </c>
    </row>
    <row r="205" spans="2:4">
      <c r="B205" s="27" t="s">
        <v>592</v>
      </c>
      <c r="C205" s="27" t="s">
        <v>576</v>
      </c>
      <c r="D205" s="27" t="s">
        <v>1085</v>
      </c>
    </row>
    <row r="206" spans="2:4">
      <c r="B206" s="27" t="s">
        <v>592</v>
      </c>
      <c r="C206" s="27" t="s">
        <v>578</v>
      </c>
      <c r="D206" s="27" t="s">
        <v>636</v>
      </c>
    </row>
    <row r="207" spans="2:4">
      <c r="B207" s="27" t="s">
        <v>592</v>
      </c>
      <c r="C207" s="27" t="s">
        <v>578</v>
      </c>
      <c r="D207" s="27" t="s">
        <v>727</v>
      </c>
    </row>
    <row r="208" spans="2:4">
      <c r="B208" s="27" t="s">
        <v>592</v>
      </c>
      <c r="C208" s="27" t="s">
        <v>578</v>
      </c>
      <c r="D208" s="27" t="s">
        <v>816</v>
      </c>
    </row>
    <row r="209" spans="2:4">
      <c r="B209" s="27" t="s">
        <v>592</v>
      </c>
      <c r="C209" s="27" t="s">
        <v>578</v>
      </c>
      <c r="D209" s="27" t="s">
        <v>895</v>
      </c>
    </row>
    <row r="210" spans="2:4">
      <c r="B210" s="27" t="s">
        <v>592</v>
      </c>
      <c r="C210" s="27" t="s">
        <v>580</v>
      </c>
      <c r="D210" s="27" t="s">
        <v>637</v>
      </c>
    </row>
    <row r="211" spans="2:4">
      <c r="B211" s="27" t="s">
        <v>592</v>
      </c>
      <c r="C211" s="27" t="s">
        <v>580</v>
      </c>
      <c r="D211" s="27" t="s">
        <v>728</v>
      </c>
    </row>
    <row r="212" spans="2:4">
      <c r="B212" s="27" t="s">
        <v>592</v>
      </c>
      <c r="C212" s="27" t="s">
        <v>580</v>
      </c>
      <c r="D212" s="27" t="s">
        <v>817</v>
      </c>
    </row>
    <row r="213" spans="2:4">
      <c r="B213" s="27" t="s">
        <v>592</v>
      </c>
      <c r="C213" s="27" t="s">
        <v>580</v>
      </c>
      <c r="D213" s="27" t="s">
        <v>896</v>
      </c>
    </row>
    <row r="214" spans="2:4">
      <c r="B214" s="27" t="s">
        <v>592</v>
      </c>
      <c r="C214" s="27" t="s">
        <v>580</v>
      </c>
      <c r="D214" s="27" t="s">
        <v>960</v>
      </c>
    </row>
    <row r="215" spans="2:4">
      <c r="B215" s="27" t="s">
        <v>592</v>
      </c>
      <c r="C215" s="27" t="s">
        <v>580</v>
      </c>
      <c r="D215" s="27" t="s">
        <v>1008</v>
      </c>
    </row>
    <row r="216" spans="2:4">
      <c r="B216" s="27" t="s">
        <v>592</v>
      </c>
      <c r="C216" s="27" t="s">
        <v>580</v>
      </c>
      <c r="D216" s="27" t="s">
        <v>1044</v>
      </c>
    </row>
    <row r="217" spans="2:4">
      <c r="B217" s="27" t="s">
        <v>592</v>
      </c>
      <c r="C217" s="27" t="s">
        <v>582</v>
      </c>
      <c r="D217" s="27" t="s">
        <v>638</v>
      </c>
    </row>
    <row r="218" spans="2:4">
      <c r="B218" s="27" t="s">
        <v>592</v>
      </c>
      <c r="C218" s="27" t="s">
        <v>582</v>
      </c>
      <c r="D218" s="27" t="s">
        <v>729</v>
      </c>
    </row>
    <row r="219" spans="2:4">
      <c r="B219" s="27" t="s">
        <v>592</v>
      </c>
      <c r="C219" s="27" t="s">
        <v>582</v>
      </c>
      <c r="D219" s="27" t="s">
        <v>818</v>
      </c>
    </row>
    <row r="220" spans="2:4">
      <c r="B220" s="27" t="s">
        <v>592</v>
      </c>
      <c r="C220" s="27" t="s">
        <v>582</v>
      </c>
      <c r="D220" s="27" t="s">
        <v>897</v>
      </c>
    </row>
    <row r="221" spans="2:4">
      <c r="B221" s="27" t="s">
        <v>592</v>
      </c>
      <c r="C221" s="27" t="s">
        <v>582</v>
      </c>
      <c r="D221" s="27" t="s">
        <v>961</v>
      </c>
    </row>
    <row r="222" spans="2:4">
      <c r="B222" s="27" t="s">
        <v>592</v>
      </c>
      <c r="C222" s="27" t="s">
        <v>582</v>
      </c>
      <c r="D222" s="27" t="s">
        <v>1009</v>
      </c>
    </row>
    <row r="223" spans="2:4">
      <c r="B223" s="27" t="s">
        <v>592</v>
      </c>
      <c r="C223" s="27" t="s">
        <v>582</v>
      </c>
      <c r="D223" s="27" t="s">
        <v>1045</v>
      </c>
    </row>
    <row r="224" spans="2:4">
      <c r="B224" s="27" t="s">
        <v>592</v>
      </c>
      <c r="C224" s="27" t="s">
        <v>582</v>
      </c>
      <c r="D224" s="27" t="s">
        <v>1070</v>
      </c>
    </row>
    <row r="225" spans="2:4">
      <c r="B225" s="27" t="s">
        <v>592</v>
      </c>
      <c r="C225" s="27" t="s">
        <v>582</v>
      </c>
      <c r="D225" s="27" t="s">
        <v>1086</v>
      </c>
    </row>
    <row r="226" spans="2:4">
      <c r="B226" s="27" t="s">
        <v>592</v>
      </c>
      <c r="C226" s="27" t="s">
        <v>582</v>
      </c>
      <c r="D226" s="27" t="s">
        <v>1096</v>
      </c>
    </row>
    <row r="227" spans="2:4">
      <c r="B227" s="27" t="s">
        <v>593</v>
      </c>
      <c r="C227" s="27" t="s">
        <v>463</v>
      </c>
      <c r="D227" s="27" t="s">
        <v>639</v>
      </c>
    </row>
    <row r="228" spans="2:4">
      <c r="B228" s="27" t="s">
        <v>593</v>
      </c>
      <c r="C228" s="27" t="s">
        <v>463</v>
      </c>
      <c r="D228" s="27" t="s">
        <v>730</v>
      </c>
    </row>
    <row r="229" spans="2:4">
      <c r="B229" s="27" t="s">
        <v>593</v>
      </c>
      <c r="C229" s="27" t="s">
        <v>483</v>
      </c>
      <c r="D229" s="27" t="s">
        <v>640</v>
      </c>
    </row>
    <row r="230" spans="2:4">
      <c r="B230" s="27" t="s">
        <v>593</v>
      </c>
      <c r="C230" s="27" t="s">
        <v>483</v>
      </c>
      <c r="D230" s="27" t="s">
        <v>731</v>
      </c>
    </row>
    <row r="231" spans="2:4">
      <c r="B231" s="27" t="s">
        <v>593</v>
      </c>
      <c r="C231" s="27" t="s">
        <v>500</v>
      </c>
      <c r="D231" s="27" t="s">
        <v>641</v>
      </c>
    </row>
    <row r="232" spans="2:4">
      <c r="B232" s="27" t="s">
        <v>593</v>
      </c>
      <c r="C232" s="27" t="s">
        <v>500</v>
      </c>
      <c r="D232" s="27" t="s">
        <v>732</v>
      </c>
    </row>
    <row r="233" spans="2:4">
      <c r="B233" s="27" t="s">
        <v>593</v>
      </c>
      <c r="C233" s="27" t="s">
        <v>513</v>
      </c>
      <c r="D233" s="27" t="s">
        <v>642</v>
      </c>
    </row>
    <row r="234" spans="2:4">
      <c r="B234" s="27" t="s">
        <v>593</v>
      </c>
      <c r="C234" s="27" t="s">
        <v>513</v>
      </c>
      <c r="D234" s="27" t="s">
        <v>733</v>
      </c>
    </row>
    <row r="235" spans="2:4">
      <c r="B235" s="27" t="s">
        <v>593</v>
      </c>
      <c r="C235" s="27" t="s">
        <v>513</v>
      </c>
      <c r="D235" s="27" t="s">
        <v>819</v>
      </c>
    </row>
    <row r="236" spans="2:4">
      <c r="B236" s="27" t="s">
        <v>593</v>
      </c>
      <c r="C236" s="27" t="s">
        <v>513</v>
      </c>
      <c r="D236" s="27" t="s">
        <v>898</v>
      </c>
    </row>
    <row r="237" spans="2:4">
      <c r="B237" s="27" t="s">
        <v>594</v>
      </c>
      <c r="C237" s="27" t="s">
        <v>464</v>
      </c>
      <c r="D237" s="27" t="s">
        <v>643</v>
      </c>
    </row>
    <row r="238" spans="2:4">
      <c r="B238" s="27" t="s">
        <v>594</v>
      </c>
      <c r="C238" s="27" t="s">
        <v>464</v>
      </c>
      <c r="D238" s="27" t="s">
        <v>734</v>
      </c>
    </row>
    <row r="239" spans="2:4">
      <c r="B239" s="27" t="s">
        <v>594</v>
      </c>
      <c r="C239" s="27" t="s">
        <v>464</v>
      </c>
      <c r="D239" s="27" t="s">
        <v>820</v>
      </c>
    </row>
    <row r="240" spans="2:4">
      <c r="B240" s="27" t="s">
        <v>594</v>
      </c>
      <c r="C240" s="27" t="s">
        <v>464</v>
      </c>
      <c r="D240" s="27" t="s">
        <v>899</v>
      </c>
    </row>
    <row r="241" spans="2:4">
      <c r="B241" s="27" t="s">
        <v>594</v>
      </c>
      <c r="C241" s="27" t="s">
        <v>484</v>
      </c>
      <c r="D241" s="27" t="s">
        <v>644</v>
      </c>
    </row>
    <row r="242" spans="2:4">
      <c r="B242" s="27" t="s">
        <v>594</v>
      </c>
      <c r="C242" s="27" t="s">
        <v>484</v>
      </c>
      <c r="D242" s="27" t="s">
        <v>735</v>
      </c>
    </row>
    <row r="243" spans="2:4">
      <c r="B243" s="27" t="s">
        <v>594</v>
      </c>
      <c r="C243" s="27" t="s">
        <v>484</v>
      </c>
      <c r="D243" s="27" t="s">
        <v>821</v>
      </c>
    </row>
    <row r="244" spans="2:4">
      <c r="B244" s="27" t="s">
        <v>594</v>
      </c>
      <c r="C244" s="27" t="s">
        <v>484</v>
      </c>
      <c r="D244" s="27" t="s">
        <v>962</v>
      </c>
    </row>
    <row r="245" spans="2:4">
      <c r="B245" s="27" t="s">
        <v>594</v>
      </c>
      <c r="C245" s="27" t="s">
        <v>501</v>
      </c>
      <c r="D245" s="27" t="s">
        <v>645</v>
      </c>
    </row>
    <row r="246" spans="2:4">
      <c r="B246" s="27" t="s">
        <v>594</v>
      </c>
      <c r="C246" s="27" t="s">
        <v>501</v>
      </c>
      <c r="D246" s="27" t="s">
        <v>736</v>
      </c>
    </row>
    <row r="247" spans="2:4">
      <c r="B247" s="27" t="s">
        <v>594</v>
      </c>
      <c r="C247" s="27" t="s">
        <v>501</v>
      </c>
      <c r="D247" s="27" t="s">
        <v>822</v>
      </c>
    </row>
    <row r="248" spans="2:4">
      <c r="B248" s="27" t="s">
        <v>594</v>
      </c>
      <c r="C248" s="27" t="s">
        <v>514</v>
      </c>
      <c r="D248" s="27" t="s">
        <v>646</v>
      </c>
    </row>
    <row r="249" spans="2:4">
      <c r="B249" s="27" t="s">
        <v>594</v>
      </c>
      <c r="C249" s="27" t="s">
        <v>514</v>
      </c>
      <c r="D249" s="27" t="s">
        <v>737</v>
      </c>
    </row>
    <row r="250" spans="2:4">
      <c r="B250" s="27" t="s">
        <v>594</v>
      </c>
      <c r="C250" s="27" t="s">
        <v>522</v>
      </c>
      <c r="D250" s="27" t="s">
        <v>647</v>
      </c>
    </row>
    <row r="251" spans="2:4">
      <c r="B251" s="27" t="s">
        <v>594</v>
      </c>
      <c r="C251" s="27" t="s">
        <v>522</v>
      </c>
      <c r="D251" s="27" t="s">
        <v>738</v>
      </c>
    </row>
    <row r="252" spans="2:4">
      <c r="B252" s="27" t="s">
        <v>594</v>
      </c>
      <c r="C252" s="27" t="s">
        <v>522</v>
      </c>
      <c r="D252" s="27" t="s">
        <v>823</v>
      </c>
    </row>
    <row r="253" spans="2:4">
      <c r="B253" s="27" t="s">
        <v>594</v>
      </c>
      <c r="C253" s="27" t="s">
        <v>522</v>
      </c>
      <c r="D253" s="27" t="s">
        <v>900</v>
      </c>
    </row>
    <row r="254" spans="2:4">
      <c r="B254" s="27" t="s">
        <v>594</v>
      </c>
      <c r="C254" s="27" t="s">
        <v>522</v>
      </c>
      <c r="D254" s="27" t="s">
        <v>963</v>
      </c>
    </row>
    <row r="255" spans="2:4">
      <c r="B255" s="27" t="s">
        <v>594</v>
      </c>
      <c r="C255" s="27" t="s">
        <v>522</v>
      </c>
      <c r="D255" s="27" t="s">
        <v>1010</v>
      </c>
    </row>
    <row r="256" spans="2:4">
      <c r="B256" s="27" t="s">
        <v>594</v>
      </c>
      <c r="C256" s="27" t="s">
        <v>522</v>
      </c>
      <c r="D256" s="27" t="s">
        <v>1046</v>
      </c>
    </row>
    <row r="257" spans="2:4">
      <c r="B257" s="27" t="s">
        <v>444</v>
      </c>
      <c r="C257" s="27" t="s">
        <v>465</v>
      </c>
      <c r="D257" s="27" t="s">
        <v>648</v>
      </c>
    </row>
    <row r="258" spans="2:4">
      <c r="B258" s="27" t="s">
        <v>444</v>
      </c>
      <c r="C258" s="27" t="s">
        <v>465</v>
      </c>
      <c r="D258" s="27" t="s">
        <v>739</v>
      </c>
    </row>
    <row r="259" spans="2:4">
      <c r="B259" s="27" t="s">
        <v>444</v>
      </c>
      <c r="C259" s="27" t="s">
        <v>485</v>
      </c>
      <c r="D259" s="27" t="s">
        <v>649</v>
      </c>
    </row>
    <row r="260" spans="2:4">
      <c r="B260" s="27" t="s">
        <v>444</v>
      </c>
      <c r="C260" s="27" t="s">
        <v>485</v>
      </c>
      <c r="D260" s="27" t="s">
        <v>740</v>
      </c>
    </row>
    <row r="261" spans="2:4">
      <c r="B261" s="27" t="s">
        <v>444</v>
      </c>
      <c r="C261" s="27" t="s">
        <v>485</v>
      </c>
      <c r="D261" s="27" t="s">
        <v>824</v>
      </c>
    </row>
    <row r="262" spans="2:4">
      <c r="B262" s="27" t="s">
        <v>444</v>
      </c>
      <c r="C262" s="27" t="s">
        <v>485</v>
      </c>
      <c r="D262" s="27" t="s">
        <v>901</v>
      </c>
    </row>
    <row r="263" spans="2:4">
      <c r="B263" s="27" t="s">
        <v>444</v>
      </c>
      <c r="C263" s="27" t="s">
        <v>485</v>
      </c>
      <c r="D263" s="27" t="s">
        <v>964</v>
      </c>
    </row>
    <row r="264" spans="2:4">
      <c r="B264" s="27" t="s">
        <v>444</v>
      </c>
      <c r="C264" s="27" t="s">
        <v>502</v>
      </c>
      <c r="D264" s="27" t="s">
        <v>650</v>
      </c>
    </row>
    <row r="265" spans="2:4">
      <c r="B265" s="27" t="s">
        <v>444</v>
      </c>
      <c r="C265" s="27" t="s">
        <v>502</v>
      </c>
      <c r="D265" s="27" t="s">
        <v>741</v>
      </c>
    </row>
    <row r="266" spans="2:4">
      <c r="B266" s="27" t="s">
        <v>444</v>
      </c>
      <c r="C266" s="27" t="s">
        <v>502</v>
      </c>
      <c r="D266" s="27" t="s">
        <v>825</v>
      </c>
    </row>
    <row r="267" spans="2:4">
      <c r="B267" s="27" t="s">
        <v>444</v>
      </c>
      <c r="C267" s="27" t="s">
        <v>502</v>
      </c>
      <c r="D267" s="27" t="s">
        <v>902</v>
      </c>
    </row>
    <row r="268" spans="2:4">
      <c r="B268" s="27" t="s">
        <v>444</v>
      </c>
      <c r="C268" s="27" t="s">
        <v>502</v>
      </c>
      <c r="D268" s="27" t="s">
        <v>965</v>
      </c>
    </row>
    <row r="269" spans="2:4">
      <c r="B269" s="27" t="s">
        <v>444</v>
      </c>
      <c r="C269" s="27" t="s">
        <v>502</v>
      </c>
      <c r="D269" s="27" t="s">
        <v>1011</v>
      </c>
    </row>
    <row r="270" spans="2:4">
      <c r="B270" s="27" t="s">
        <v>444</v>
      </c>
      <c r="C270" s="27" t="s">
        <v>515</v>
      </c>
      <c r="D270" s="27" t="s">
        <v>651</v>
      </c>
    </row>
    <row r="271" spans="2:4">
      <c r="B271" s="27" t="s">
        <v>444</v>
      </c>
      <c r="C271" s="27" t="s">
        <v>515</v>
      </c>
      <c r="D271" s="27" t="s">
        <v>742</v>
      </c>
    </row>
    <row r="272" spans="2:4">
      <c r="B272" s="27" t="s">
        <v>444</v>
      </c>
      <c r="C272" s="27" t="s">
        <v>515</v>
      </c>
      <c r="D272" s="27" t="s">
        <v>826</v>
      </c>
    </row>
    <row r="273" spans="2:4">
      <c r="B273" s="27" t="s">
        <v>444</v>
      </c>
      <c r="C273" s="27" t="s">
        <v>515</v>
      </c>
      <c r="D273" s="27" t="s">
        <v>903</v>
      </c>
    </row>
    <row r="274" spans="2:4">
      <c r="B274" s="27" t="s">
        <v>444</v>
      </c>
      <c r="C274" s="27" t="s">
        <v>515</v>
      </c>
      <c r="D274" s="27" t="s">
        <v>966</v>
      </c>
    </row>
    <row r="275" spans="2:4">
      <c r="B275" s="27" t="s">
        <v>444</v>
      </c>
      <c r="C275" s="27" t="s">
        <v>523</v>
      </c>
      <c r="D275" s="27" t="s">
        <v>652</v>
      </c>
    </row>
    <row r="276" spans="2:4">
      <c r="B276" s="27" t="s">
        <v>444</v>
      </c>
      <c r="C276" s="27" t="s">
        <v>523</v>
      </c>
      <c r="D276" s="27" t="s">
        <v>743</v>
      </c>
    </row>
    <row r="277" spans="2:4">
      <c r="B277" s="27" t="s">
        <v>444</v>
      </c>
      <c r="C277" s="27" t="s">
        <v>523</v>
      </c>
      <c r="D277" s="27" t="s">
        <v>827</v>
      </c>
    </row>
    <row r="278" spans="2:4">
      <c r="B278" s="27" t="s">
        <v>444</v>
      </c>
      <c r="C278" s="27" t="s">
        <v>529</v>
      </c>
      <c r="D278" s="27" t="s">
        <v>653</v>
      </c>
    </row>
    <row r="279" spans="2:4">
      <c r="B279" s="27" t="s">
        <v>444</v>
      </c>
      <c r="C279" s="27" t="s">
        <v>529</v>
      </c>
      <c r="D279" s="27" t="s">
        <v>744</v>
      </c>
    </row>
    <row r="280" spans="2:4">
      <c r="B280" s="27" t="s">
        <v>444</v>
      </c>
      <c r="C280" s="27" t="s">
        <v>529</v>
      </c>
      <c r="D280" s="27" t="s">
        <v>828</v>
      </c>
    </row>
    <row r="281" spans="2:4">
      <c r="B281" s="27" t="s">
        <v>444</v>
      </c>
      <c r="C281" s="27" t="s">
        <v>535</v>
      </c>
      <c r="D281" s="27" t="s">
        <v>654</v>
      </c>
    </row>
    <row r="282" spans="2:4">
      <c r="B282" s="27" t="s">
        <v>444</v>
      </c>
      <c r="C282" s="27" t="s">
        <v>535</v>
      </c>
      <c r="D282" s="27" t="s">
        <v>745</v>
      </c>
    </row>
    <row r="283" spans="2:4">
      <c r="B283" s="27" t="s">
        <v>444</v>
      </c>
      <c r="C283" s="27" t="s">
        <v>535</v>
      </c>
      <c r="D283" s="27" t="s">
        <v>829</v>
      </c>
    </row>
    <row r="284" spans="2:4">
      <c r="B284" s="27" t="s">
        <v>444</v>
      </c>
      <c r="C284" s="27" t="s">
        <v>535</v>
      </c>
      <c r="D284" s="27" t="s">
        <v>904</v>
      </c>
    </row>
    <row r="285" spans="2:4">
      <c r="B285" s="27" t="s">
        <v>444</v>
      </c>
      <c r="C285" s="27" t="s">
        <v>535</v>
      </c>
      <c r="D285" s="27" t="s">
        <v>967</v>
      </c>
    </row>
    <row r="286" spans="2:4">
      <c r="B286" s="27" t="s">
        <v>444</v>
      </c>
      <c r="C286" s="27" t="s">
        <v>535</v>
      </c>
      <c r="D286" s="27" t="s">
        <v>1012</v>
      </c>
    </row>
    <row r="287" spans="2:4">
      <c r="B287" s="27" t="s">
        <v>444</v>
      </c>
      <c r="C287" s="27" t="s">
        <v>535</v>
      </c>
      <c r="D287" s="27" t="s">
        <v>1047</v>
      </c>
    </row>
    <row r="288" spans="2:4">
      <c r="B288" s="27" t="s">
        <v>444</v>
      </c>
      <c r="C288" s="27" t="s">
        <v>1102</v>
      </c>
      <c r="D288" s="27" t="s">
        <v>655</v>
      </c>
    </row>
    <row r="289" spans="2:4">
      <c r="B289" s="27" t="s">
        <v>444</v>
      </c>
      <c r="C289" s="27" t="s">
        <v>1102</v>
      </c>
      <c r="D289" s="27" t="s">
        <v>746</v>
      </c>
    </row>
    <row r="290" spans="2:4">
      <c r="B290" s="27" t="s">
        <v>445</v>
      </c>
      <c r="C290" s="27" t="s">
        <v>466</v>
      </c>
      <c r="D290" s="27" t="s">
        <v>656</v>
      </c>
    </row>
    <row r="291" spans="2:4">
      <c r="B291" s="27" t="s">
        <v>445</v>
      </c>
      <c r="C291" s="27" t="s">
        <v>466</v>
      </c>
      <c r="D291" s="27" t="s">
        <v>747</v>
      </c>
    </row>
    <row r="292" spans="2:4">
      <c r="B292" s="27" t="s">
        <v>445</v>
      </c>
      <c r="C292" s="27" t="s">
        <v>486</v>
      </c>
      <c r="D292" s="27" t="s">
        <v>657</v>
      </c>
    </row>
    <row r="293" spans="2:4">
      <c r="B293" s="27" t="s">
        <v>445</v>
      </c>
      <c r="C293" s="27" t="s">
        <v>486</v>
      </c>
      <c r="D293" s="27" t="s">
        <v>748</v>
      </c>
    </row>
    <row r="294" spans="2:4">
      <c r="B294" s="27" t="s">
        <v>445</v>
      </c>
      <c r="C294" s="27" t="s">
        <v>486</v>
      </c>
      <c r="D294" s="27" t="s">
        <v>830</v>
      </c>
    </row>
    <row r="295" spans="2:4">
      <c r="B295" s="27" t="s">
        <v>445</v>
      </c>
      <c r="C295" s="27" t="s">
        <v>486</v>
      </c>
      <c r="D295" s="27" t="s">
        <v>905</v>
      </c>
    </row>
    <row r="296" spans="2:4">
      <c r="B296" s="27" t="s">
        <v>445</v>
      </c>
      <c r="C296" s="27" t="s">
        <v>503</v>
      </c>
      <c r="D296" s="27" t="s">
        <v>658</v>
      </c>
    </row>
    <row r="297" spans="2:4">
      <c r="B297" s="27" t="s">
        <v>445</v>
      </c>
      <c r="C297" s="27" t="s">
        <v>503</v>
      </c>
      <c r="D297" s="27" t="s">
        <v>749</v>
      </c>
    </row>
    <row r="298" spans="2:4">
      <c r="B298" s="27" t="s">
        <v>445</v>
      </c>
      <c r="C298" s="27" t="s">
        <v>503</v>
      </c>
      <c r="D298" s="27" t="s">
        <v>831</v>
      </c>
    </row>
    <row r="299" spans="2:4">
      <c r="B299" s="27" t="s">
        <v>445</v>
      </c>
      <c r="C299" s="225" t="s">
        <v>1103</v>
      </c>
      <c r="D299" s="27" t="s">
        <v>659</v>
      </c>
    </row>
    <row r="300" spans="2:4">
      <c r="B300" s="27" t="s">
        <v>445</v>
      </c>
      <c r="C300" s="171" t="s">
        <v>1103</v>
      </c>
      <c r="D300" s="27" t="s">
        <v>750</v>
      </c>
    </row>
    <row r="301" spans="2:4">
      <c r="B301" s="27" t="s">
        <v>445</v>
      </c>
      <c r="C301" s="171" t="s">
        <v>1103</v>
      </c>
      <c r="D301" s="27" t="s">
        <v>832</v>
      </c>
    </row>
    <row r="302" spans="2:4">
      <c r="B302" s="27" t="s">
        <v>445</v>
      </c>
      <c r="C302" s="171" t="s">
        <v>1103</v>
      </c>
      <c r="D302" s="27" t="s">
        <v>906</v>
      </c>
    </row>
    <row r="303" spans="2:4">
      <c r="B303" s="27" t="s">
        <v>445</v>
      </c>
      <c r="C303" s="171" t="s">
        <v>1103</v>
      </c>
      <c r="D303" s="27" t="s">
        <v>968</v>
      </c>
    </row>
    <row r="304" spans="2:4">
      <c r="B304" s="27" t="s">
        <v>445</v>
      </c>
      <c r="C304" s="171" t="s">
        <v>1103</v>
      </c>
      <c r="D304" s="27" t="s">
        <v>1013</v>
      </c>
    </row>
    <row r="305" spans="2:4">
      <c r="B305" s="27" t="s">
        <v>445</v>
      </c>
      <c r="C305" s="171" t="s">
        <v>1103</v>
      </c>
      <c r="D305" s="27" t="s">
        <v>1048</v>
      </c>
    </row>
    <row r="306" spans="2:4">
      <c r="B306" s="27" t="s">
        <v>445</v>
      </c>
      <c r="C306" s="27" t="s">
        <v>524</v>
      </c>
      <c r="D306" s="27" t="s">
        <v>660</v>
      </c>
    </row>
    <row r="307" spans="2:4">
      <c r="B307" s="27" t="s">
        <v>445</v>
      </c>
      <c r="C307" s="27" t="s">
        <v>524</v>
      </c>
      <c r="D307" s="27" t="s">
        <v>751</v>
      </c>
    </row>
    <row r="308" spans="2:4">
      <c r="B308" s="27" t="s">
        <v>445</v>
      </c>
      <c r="C308" s="27" t="s">
        <v>524</v>
      </c>
      <c r="D308" s="27" t="s">
        <v>833</v>
      </c>
    </row>
    <row r="309" spans="2:4">
      <c r="B309" s="27" t="s">
        <v>445</v>
      </c>
      <c r="C309" s="27" t="s">
        <v>524</v>
      </c>
      <c r="D309" s="27" t="s">
        <v>907</v>
      </c>
    </row>
    <row r="310" spans="2:4">
      <c r="B310" s="27" t="s">
        <v>445</v>
      </c>
      <c r="C310" s="27" t="s">
        <v>524</v>
      </c>
      <c r="D310" s="27" t="s">
        <v>969</v>
      </c>
    </row>
    <row r="311" spans="2:4">
      <c r="B311" s="27" t="s">
        <v>445</v>
      </c>
      <c r="C311" s="27" t="s">
        <v>530</v>
      </c>
      <c r="D311" s="27" t="s">
        <v>661</v>
      </c>
    </row>
    <row r="312" spans="2:4">
      <c r="B312" s="27" t="s">
        <v>445</v>
      </c>
      <c r="C312" s="27" t="s">
        <v>530</v>
      </c>
      <c r="D312" s="27" t="s">
        <v>752</v>
      </c>
    </row>
    <row r="313" spans="2:4">
      <c r="B313" s="27" t="s">
        <v>445</v>
      </c>
      <c r="C313" s="27" t="s">
        <v>530</v>
      </c>
      <c r="D313" s="27" t="s">
        <v>834</v>
      </c>
    </row>
    <row r="314" spans="2:4">
      <c r="B314" s="27" t="s">
        <v>445</v>
      </c>
      <c r="C314" s="27" t="s">
        <v>530</v>
      </c>
      <c r="D314" s="27" t="s">
        <v>908</v>
      </c>
    </row>
    <row r="315" spans="2:4">
      <c r="B315" s="27" t="s">
        <v>445</v>
      </c>
      <c r="C315" s="27" t="s">
        <v>530</v>
      </c>
      <c r="D315" s="27" t="s">
        <v>970</v>
      </c>
    </row>
    <row r="316" spans="2:4">
      <c r="B316" s="27" t="s">
        <v>445</v>
      </c>
      <c r="C316" s="27" t="s">
        <v>536</v>
      </c>
      <c r="D316" s="27" t="s">
        <v>662</v>
      </c>
    </row>
    <row r="317" spans="2:4">
      <c r="B317" s="27" t="s">
        <v>445</v>
      </c>
      <c r="C317" s="27" t="s">
        <v>536</v>
      </c>
      <c r="D317" s="27" t="s">
        <v>1119</v>
      </c>
    </row>
    <row r="318" spans="2:4">
      <c r="B318" s="27" t="s">
        <v>445</v>
      </c>
      <c r="C318" s="27" t="s">
        <v>536</v>
      </c>
      <c r="D318" s="27" t="s">
        <v>1120</v>
      </c>
    </row>
    <row r="319" spans="2:4">
      <c r="B319" s="27" t="s">
        <v>445</v>
      </c>
      <c r="C319" s="27" t="s">
        <v>536</v>
      </c>
      <c r="D319" s="27" t="s">
        <v>1121</v>
      </c>
    </row>
    <row r="320" spans="2:4">
      <c r="B320" s="27" t="s">
        <v>445</v>
      </c>
      <c r="C320" s="27" t="s">
        <v>536</v>
      </c>
      <c r="D320" s="27" t="s">
        <v>1122</v>
      </c>
    </row>
    <row r="321" spans="2:4">
      <c r="B321" s="27" t="s">
        <v>445</v>
      </c>
      <c r="C321" s="27" t="s">
        <v>536</v>
      </c>
      <c r="D321" s="27" t="s">
        <v>1123</v>
      </c>
    </row>
    <row r="322" spans="2:4">
      <c r="B322" s="27" t="s">
        <v>445</v>
      </c>
      <c r="C322" s="27" t="s">
        <v>536</v>
      </c>
      <c r="D322" s="27" t="s">
        <v>1124</v>
      </c>
    </row>
    <row r="323" spans="2:4">
      <c r="B323" s="27" t="s">
        <v>445</v>
      </c>
      <c r="C323" s="27" t="s">
        <v>536</v>
      </c>
      <c r="D323" s="27" t="s">
        <v>1125</v>
      </c>
    </row>
    <row r="324" spans="2:4">
      <c r="B324" s="27" t="s">
        <v>445</v>
      </c>
      <c r="C324" s="27" t="s">
        <v>541</v>
      </c>
      <c r="D324" s="27" t="s">
        <v>663</v>
      </c>
    </row>
    <row r="325" spans="2:4">
      <c r="B325" s="27" t="s">
        <v>445</v>
      </c>
      <c r="C325" s="27" t="s">
        <v>541</v>
      </c>
      <c r="D325" s="27" t="s">
        <v>753</v>
      </c>
    </row>
    <row r="326" spans="2:4">
      <c r="B326" s="27" t="s">
        <v>445</v>
      </c>
      <c r="C326" s="27" t="s">
        <v>541</v>
      </c>
      <c r="D326" s="27" t="s">
        <v>835</v>
      </c>
    </row>
    <row r="327" spans="2:4">
      <c r="B327" s="27" t="s">
        <v>445</v>
      </c>
      <c r="C327" s="27" t="s">
        <v>541</v>
      </c>
      <c r="D327" s="27" t="s">
        <v>909</v>
      </c>
    </row>
    <row r="328" spans="2:4">
      <c r="B328" s="27" t="s">
        <v>445</v>
      </c>
      <c r="C328" s="27" t="s">
        <v>541</v>
      </c>
      <c r="D328" s="27" t="s">
        <v>971</v>
      </c>
    </row>
    <row r="329" spans="2:4">
      <c r="B329" s="27" t="s">
        <v>445</v>
      </c>
      <c r="C329" s="27" t="s">
        <v>541</v>
      </c>
      <c r="D329" s="27" t="s">
        <v>1014</v>
      </c>
    </row>
    <row r="330" spans="2:4">
      <c r="B330" s="27" t="s">
        <v>445</v>
      </c>
      <c r="C330" s="27" t="s">
        <v>545</v>
      </c>
      <c r="D330" s="27" t="s">
        <v>664</v>
      </c>
    </row>
    <row r="331" spans="2:4">
      <c r="B331" s="27" t="s">
        <v>445</v>
      </c>
      <c r="C331" s="27" t="s">
        <v>545</v>
      </c>
      <c r="D331" s="27" t="s">
        <v>754</v>
      </c>
    </row>
    <row r="332" spans="2:4">
      <c r="B332" s="27" t="s">
        <v>445</v>
      </c>
      <c r="C332" s="27" t="s">
        <v>545</v>
      </c>
      <c r="D332" s="27" t="s">
        <v>836</v>
      </c>
    </row>
    <row r="333" spans="2:4">
      <c r="B333" s="27" t="s">
        <v>445</v>
      </c>
      <c r="C333" s="27" t="s">
        <v>545</v>
      </c>
      <c r="D333" s="27" t="s">
        <v>910</v>
      </c>
    </row>
    <row r="334" spans="2:4">
      <c r="B334" s="27" t="s">
        <v>445</v>
      </c>
      <c r="C334" s="27" t="s">
        <v>545</v>
      </c>
      <c r="D334" s="27" t="s">
        <v>972</v>
      </c>
    </row>
    <row r="335" spans="2:4">
      <c r="B335" s="27" t="s">
        <v>445</v>
      </c>
      <c r="C335" s="27" t="s">
        <v>545</v>
      </c>
      <c r="D335" s="27" t="s">
        <v>1015</v>
      </c>
    </row>
    <row r="336" spans="2:4">
      <c r="B336" s="27" t="s">
        <v>445</v>
      </c>
      <c r="C336" s="27" t="s">
        <v>545</v>
      </c>
      <c r="D336" s="27" t="s">
        <v>1049</v>
      </c>
    </row>
    <row r="337" spans="2:4">
      <c r="B337" s="27" t="s">
        <v>445</v>
      </c>
      <c r="C337" s="27" t="s">
        <v>545</v>
      </c>
      <c r="D337" s="27" t="s">
        <v>1071</v>
      </c>
    </row>
    <row r="338" spans="2:4">
      <c r="B338" s="27" t="s">
        <v>445</v>
      </c>
      <c r="C338" s="27" t="s">
        <v>549</v>
      </c>
      <c r="D338" s="27" t="s">
        <v>665</v>
      </c>
    </row>
    <row r="339" spans="2:4">
      <c r="B339" s="27" t="s">
        <v>445</v>
      </c>
      <c r="C339" s="27" t="s">
        <v>549</v>
      </c>
      <c r="D339" s="27" t="s">
        <v>755</v>
      </c>
    </row>
    <row r="340" spans="2:4">
      <c r="B340" s="27" t="s">
        <v>445</v>
      </c>
      <c r="C340" s="27" t="s">
        <v>549</v>
      </c>
      <c r="D340" s="27" t="s">
        <v>837</v>
      </c>
    </row>
    <row r="341" spans="2:4">
      <c r="B341" s="27" t="s">
        <v>445</v>
      </c>
      <c r="C341" s="27" t="s">
        <v>549</v>
      </c>
      <c r="D341" s="27" t="s">
        <v>911</v>
      </c>
    </row>
    <row r="342" spans="2:4">
      <c r="B342" s="27" t="s">
        <v>445</v>
      </c>
      <c r="C342" s="27" t="s">
        <v>552</v>
      </c>
      <c r="D342" s="27" t="s">
        <v>666</v>
      </c>
    </row>
    <row r="343" spans="2:4">
      <c r="B343" s="27" t="s">
        <v>445</v>
      </c>
      <c r="C343" s="27" t="s">
        <v>552</v>
      </c>
      <c r="D343" s="27" t="s">
        <v>756</v>
      </c>
    </row>
    <row r="344" spans="2:4">
      <c r="B344" s="27" t="s">
        <v>445</v>
      </c>
      <c r="C344" s="27" t="s">
        <v>552</v>
      </c>
      <c r="D344" s="27" t="s">
        <v>838</v>
      </c>
    </row>
    <row r="345" spans="2:4">
      <c r="B345" s="27" t="s">
        <v>445</v>
      </c>
      <c r="C345" s="27" t="s">
        <v>552</v>
      </c>
      <c r="D345" s="27" t="s">
        <v>912</v>
      </c>
    </row>
    <row r="346" spans="2:4">
      <c r="B346" s="27" t="s">
        <v>445</v>
      </c>
      <c r="C346" s="27" t="s">
        <v>552</v>
      </c>
      <c r="D346" s="27" t="s">
        <v>973</v>
      </c>
    </row>
    <row r="347" spans="2:4">
      <c r="B347" s="27" t="s">
        <v>445</v>
      </c>
      <c r="C347" s="27" t="s">
        <v>552</v>
      </c>
      <c r="D347" s="27" t="s">
        <v>1016</v>
      </c>
    </row>
    <row r="348" spans="2:4">
      <c r="B348" s="27" t="s">
        <v>445</v>
      </c>
      <c r="C348" s="27" t="s">
        <v>552</v>
      </c>
      <c r="D348" s="27" t="s">
        <v>1050</v>
      </c>
    </row>
    <row r="349" spans="2:4">
      <c r="B349" s="27" t="s">
        <v>445</v>
      </c>
      <c r="C349" s="27" t="s">
        <v>552</v>
      </c>
      <c r="D349" s="27" t="s">
        <v>1072</v>
      </c>
    </row>
    <row r="350" spans="2:4">
      <c r="B350" s="27" t="s">
        <v>445</v>
      </c>
      <c r="C350" s="27" t="s">
        <v>552</v>
      </c>
      <c r="D350" s="27" t="s">
        <v>1087</v>
      </c>
    </row>
    <row r="351" spans="2:4">
      <c r="B351" s="27" t="s">
        <v>445</v>
      </c>
      <c r="C351" s="27" t="s">
        <v>552</v>
      </c>
      <c r="D351" s="27" t="s">
        <v>1097</v>
      </c>
    </row>
    <row r="352" spans="2:4">
      <c r="B352" s="27" t="s">
        <v>445</v>
      </c>
      <c r="C352" s="27" t="s">
        <v>557</v>
      </c>
      <c r="D352" s="27" t="s">
        <v>667</v>
      </c>
    </row>
    <row r="353" spans="2:4">
      <c r="B353" s="27" t="s">
        <v>445</v>
      </c>
      <c r="C353" s="27" t="s">
        <v>557</v>
      </c>
      <c r="D353" s="27" t="s">
        <v>757</v>
      </c>
    </row>
    <row r="354" spans="2:4">
      <c r="B354" s="27" t="s">
        <v>445</v>
      </c>
      <c r="C354" s="27" t="s">
        <v>557</v>
      </c>
      <c r="D354" s="27" t="s">
        <v>839</v>
      </c>
    </row>
    <row r="355" spans="2:4">
      <c r="B355" s="27" t="s">
        <v>445</v>
      </c>
      <c r="C355" s="27" t="s">
        <v>557</v>
      </c>
      <c r="D355" s="27" t="s">
        <v>913</v>
      </c>
    </row>
    <row r="356" spans="2:4">
      <c r="B356" s="27" t="s">
        <v>446</v>
      </c>
      <c r="C356" s="27" t="s">
        <v>467</v>
      </c>
      <c r="D356" s="27" t="s">
        <v>668</v>
      </c>
    </row>
    <row r="357" spans="2:4">
      <c r="B357" s="27" t="s">
        <v>446</v>
      </c>
      <c r="C357" s="27" t="s">
        <v>467</v>
      </c>
      <c r="D357" s="27" t="s">
        <v>758</v>
      </c>
    </row>
    <row r="358" spans="2:4">
      <c r="B358" s="27" t="s">
        <v>446</v>
      </c>
      <c r="C358" s="27" t="s">
        <v>467</v>
      </c>
      <c r="D358" s="27" t="s">
        <v>840</v>
      </c>
    </row>
    <row r="359" spans="2:4">
      <c r="B359" s="27" t="s">
        <v>446</v>
      </c>
      <c r="C359" s="27" t="s">
        <v>487</v>
      </c>
      <c r="D359" s="27" t="s">
        <v>669</v>
      </c>
    </row>
    <row r="360" spans="2:4">
      <c r="B360" s="27" t="s">
        <v>446</v>
      </c>
      <c r="C360" s="27" t="s">
        <v>487</v>
      </c>
      <c r="D360" s="27" t="s">
        <v>759</v>
      </c>
    </row>
    <row r="361" spans="2:4">
      <c r="B361" s="27" t="s">
        <v>446</v>
      </c>
      <c r="C361" s="27" t="s">
        <v>487</v>
      </c>
      <c r="D361" s="27" t="s">
        <v>841</v>
      </c>
    </row>
    <row r="362" spans="2:4" ht="36">
      <c r="B362" s="27" t="s">
        <v>446</v>
      </c>
      <c r="C362" s="225" t="s">
        <v>1104</v>
      </c>
      <c r="D362" s="27" t="s">
        <v>670</v>
      </c>
    </row>
    <row r="363" spans="2:4" ht="36">
      <c r="B363" s="27" t="s">
        <v>446</v>
      </c>
      <c r="C363" s="171" t="s">
        <v>1104</v>
      </c>
      <c r="D363" s="27" t="s">
        <v>760</v>
      </c>
    </row>
    <row r="364" spans="2:4" ht="36">
      <c r="B364" s="27" t="s">
        <v>446</v>
      </c>
      <c r="C364" s="171" t="s">
        <v>1104</v>
      </c>
      <c r="D364" s="27" t="s">
        <v>842</v>
      </c>
    </row>
    <row r="365" spans="2:4" ht="36">
      <c r="B365" s="27" t="s">
        <v>446</v>
      </c>
      <c r="C365" s="171" t="s">
        <v>1104</v>
      </c>
      <c r="D365" s="27" t="s">
        <v>914</v>
      </c>
    </row>
    <row r="366" spans="2:4" ht="36">
      <c r="B366" s="27" t="s">
        <v>446</v>
      </c>
      <c r="C366" s="171" t="s">
        <v>1104</v>
      </c>
      <c r="D366" s="27" t="s">
        <v>974</v>
      </c>
    </row>
    <row r="367" spans="2:4">
      <c r="B367" s="27" t="s">
        <v>446</v>
      </c>
      <c r="C367" s="27" t="s">
        <v>1105</v>
      </c>
      <c r="D367" s="27" t="s">
        <v>671</v>
      </c>
    </row>
    <row r="368" spans="2:4">
      <c r="B368" s="27" t="s">
        <v>446</v>
      </c>
      <c r="C368" s="27" t="s">
        <v>1105</v>
      </c>
      <c r="D368" s="27" t="s">
        <v>761</v>
      </c>
    </row>
    <row r="369" spans="2:4">
      <c r="B369" s="27" t="s">
        <v>446</v>
      </c>
      <c r="C369" s="27" t="s">
        <v>1105</v>
      </c>
      <c r="D369" s="27" t="s">
        <v>843</v>
      </c>
    </row>
    <row r="370" spans="2:4">
      <c r="B370" s="27" t="s">
        <v>446</v>
      </c>
      <c r="C370" s="27" t="s">
        <v>525</v>
      </c>
      <c r="D370" s="27" t="s">
        <v>672</v>
      </c>
    </row>
    <row r="371" spans="2:4">
      <c r="B371" s="27" t="s">
        <v>446</v>
      </c>
      <c r="C371" s="27" t="s">
        <v>525</v>
      </c>
      <c r="D371" s="27" t="s">
        <v>762</v>
      </c>
    </row>
    <row r="372" spans="2:4">
      <c r="B372" s="27" t="s">
        <v>446</v>
      </c>
      <c r="C372" s="27" t="s">
        <v>525</v>
      </c>
      <c r="D372" s="27" t="s">
        <v>844</v>
      </c>
    </row>
    <row r="373" spans="2:4">
      <c r="B373" s="27" t="s">
        <v>446</v>
      </c>
      <c r="C373" s="27" t="s">
        <v>525</v>
      </c>
      <c r="D373" s="27" t="s">
        <v>915</v>
      </c>
    </row>
    <row r="374" spans="2:4" ht="36">
      <c r="B374" s="27" t="s">
        <v>446</v>
      </c>
      <c r="C374" s="225" t="s">
        <v>1106</v>
      </c>
      <c r="D374" s="27" t="s">
        <v>673</v>
      </c>
    </row>
    <row r="375" spans="2:4" ht="36">
      <c r="B375" s="27" t="s">
        <v>446</v>
      </c>
      <c r="C375" s="171" t="s">
        <v>1106</v>
      </c>
      <c r="D375" s="27" t="s">
        <v>763</v>
      </c>
    </row>
    <row r="376" spans="2:4" ht="36">
      <c r="B376" s="27" t="s">
        <v>446</v>
      </c>
      <c r="C376" s="171" t="s">
        <v>1106</v>
      </c>
      <c r="D376" s="27" t="s">
        <v>845</v>
      </c>
    </row>
    <row r="377" spans="2:4" ht="36">
      <c r="B377" s="27" t="s">
        <v>446</v>
      </c>
      <c r="C377" s="171" t="s">
        <v>1106</v>
      </c>
      <c r="D377" s="27" t="s">
        <v>1126</v>
      </c>
    </row>
    <row r="378" spans="2:4" ht="36">
      <c r="B378" s="27" t="s">
        <v>446</v>
      </c>
      <c r="C378" s="171" t="s">
        <v>1106</v>
      </c>
      <c r="D378" s="27" t="s">
        <v>975</v>
      </c>
    </row>
    <row r="379" spans="2:4" ht="36">
      <c r="B379" s="27" t="s">
        <v>446</v>
      </c>
      <c r="C379" s="171" t="s">
        <v>1106</v>
      </c>
      <c r="D379" s="27" t="s">
        <v>1017</v>
      </c>
    </row>
    <row r="380" spans="2:4">
      <c r="B380" s="27" t="s">
        <v>447</v>
      </c>
      <c r="C380" s="27" t="s">
        <v>468</v>
      </c>
      <c r="D380" s="27" t="s">
        <v>674</v>
      </c>
    </row>
    <row r="381" spans="2:4">
      <c r="B381" s="27" t="s">
        <v>447</v>
      </c>
      <c r="C381" s="27" t="s">
        <v>468</v>
      </c>
      <c r="D381" s="27" t="s">
        <v>764</v>
      </c>
    </row>
    <row r="382" spans="2:4">
      <c r="B382" s="27" t="s">
        <v>447</v>
      </c>
      <c r="C382" s="27" t="s">
        <v>468</v>
      </c>
      <c r="D382" s="27" t="s">
        <v>846</v>
      </c>
    </row>
    <row r="383" spans="2:4">
      <c r="B383" s="27" t="s">
        <v>447</v>
      </c>
      <c r="C383" s="27" t="s">
        <v>488</v>
      </c>
      <c r="D383" s="27" t="s">
        <v>675</v>
      </c>
    </row>
    <row r="384" spans="2:4">
      <c r="B384" s="27" t="s">
        <v>447</v>
      </c>
      <c r="C384" s="27" t="s">
        <v>488</v>
      </c>
      <c r="D384" s="27" t="s">
        <v>765</v>
      </c>
    </row>
    <row r="385" spans="2:4">
      <c r="B385" s="27" t="s">
        <v>447</v>
      </c>
      <c r="C385" s="27" t="s">
        <v>488</v>
      </c>
      <c r="D385" s="27" t="s">
        <v>847</v>
      </c>
    </row>
    <row r="386" spans="2:4">
      <c r="B386" s="27" t="s">
        <v>447</v>
      </c>
      <c r="C386" s="27" t="s">
        <v>488</v>
      </c>
      <c r="D386" s="27" t="s">
        <v>917</v>
      </c>
    </row>
    <row r="387" spans="2:4">
      <c r="B387" s="27" t="s">
        <v>447</v>
      </c>
      <c r="C387" s="27" t="s">
        <v>488</v>
      </c>
      <c r="D387" s="27" t="s">
        <v>976</v>
      </c>
    </row>
    <row r="388" spans="2:4">
      <c r="B388" s="27" t="s">
        <v>447</v>
      </c>
      <c r="C388" s="27" t="s">
        <v>505</v>
      </c>
      <c r="D388" s="27" t="s">
        <v>676</v>
      </c>
    </row>
    <row r="389" spans="2:4">
      <c r="B389" s="27" t="s">
        <v>447</v>
      </c>
      <c r="C389" s="27" t="s">
        <v>505</v>
      </c>
      <c r="D389" s="27" t="s">
        <v>766</v>
      </c>
    </row>
    <row r="390" spans="2:4">
      <c r="B390" s="27" t="s">
        <v>447</v>
      </c>
      <c r="C390" s="27" t="s">
        <v>505</v>
      </c>
      <c r="D390" s="27" t="s">
        <v>848</v>
      </c>
    </row>
    <row r="391" spans="2:4">
      <c r="B391" s="27" t="s">
        <v>447</v>
      </c>
      <c r="C391" s="27" t="s">
        <v>505</v>
      </c>
      <c r="D391" s="27" t="s">
        <v>918</v>
      </c>
    </row>
    <row r="392" spans="2:4">
      <c r="B392" s="27" t="s">
        <v>447</v>
      </c>
      <c r="C392" s="27" t="s">
        <v>505</v>
      </c>
      <c r="D392" s="27" t="s">
        <v>977</v>
      </c>
    </row>
    <row r="393" spans="2:4">
      <c r="B393" s="27" t="s">
        <v>447</v>
      </c>
      <c r="C393" s="27" t="s">
        <v>505</v>
      </c>
      <c r="D393" s="27" t="s">
        <v>1018</v>
      </c>
    </row>
    <row r="394" spans="2:4">
      <c r="B394" s="27" t="s">
        <v>447</v>
      </c>
      <c r="C394" s="27" t="s">
        <v>505</v>
      </c>
      <c r="D394" s="27" t="s">
        <v>1051</v>
      </c>
    </row>
    <row r="395" spans="2:4">
      <c r="B395" s="27" t="s">
        <v>448</v>
      </c>
      <c r="C395" s="27" t="s">
        <v>469</v>
      </c>
      <c r="D395" s="27" t="s">
        <v>677</v>
      </c>
    </row>
    <row r="396" spans="2:4">
      <c r="B396" s="27" t="s">
        <v>448</v>
      </c>
      <c r="C396" s="27" t="s">
        <v>469</v>
      </c>
      <c r="D396" s="27" t="s">
        <v>767</v>
      </c>
    </row>
    <row r="397" spans="2:4">
      <c r="B397" s="27" t="s">
        <v>448</v>
      </c>
      <c r="C397" s="27" t="s">
        <v>469</v>
      </c>
      <c r="D397" s="27" t="s">
        <v>849</v>
      </c>
    </row>
    <row r="398" spans="2:4">
      <c r="B398" s="27" t="s">
        <v>448</v>
      </c>
      <c r="C398" s="27" t="s">
        <v>1107</v>
      </c>
      <c r="D398" s="27" t="s">
        <v>678</v>
      </c>
    </row>
    <row r="399" spans="2:4">
      <c r="B399" s="27" t="s">
        <v>448</v>
      </c>
      <c r="C399" s="27" t="s">
        <v>1107</v>
      </c>
      <c r="D399" s="27" t="s">
        <v>768</v>
      </c>
    </row>
    <row r="400" spans="2:4">
      <c r="B400" s="27" t="s">
        <v>448</v>
      </c>
      <c r="C400" s="27" t="s">
        <v>1107</v>
      </c>
      <c r="D400" s="27" t="s">
        <v>850</v>
      </c>
    </row>
    <row r="401" spans="2:4">
      <c r="B401" s="27" t="s">
        <v>448</v>
      </c>
      <c r="C401" s="27" t="s">
        <v>1107</v>
      </c>
      <c r="D401" s="27" t="s">
        <v>919</v>
      </c>
    </row>
    <row r="402" spans="2:4">
      <c r="B402" s="27" t="s">
        <v>448</v>
      </c>
      <c r="C402" s="27" t="s">
        <v>1107</v>
      </c>
      <c r="D402" s="27" t="s">
        <v>978</v>
      </c>
    </row>
    <row r="403" spans="2:4">
      <c r="B403" s="27" t="s">
        <v>448</v>
      </c>
      <c r="C403" s="27" t="s">
        <v>1107</v>
      </c>
      <c r="D403" s="27" t="s">
        <v>1019</v>
      </c>
    </row>
    <row r="404" spans="2:4">
      <c r="B404" s="27" t="s">
        <v>448</v>
      </c>
      <c r="C404" s="27" t="s">
        <v>1107</v>
      </c>
      <c r="D404" s="27" t="s">
        <v>1052</v>
      </c>
    </row>
    <row r="405" spans="2:4">
      <c r="B405" s="27" t="s">
        <v>448</v>
      </c>
      <c r="C405" s="27" t="s">
        <v>1107</v>
      </c>
      <c r="D405" s="27" t="s">
        <v>1073</v>
      </c>
    </row>
    <row r="406" spans="2:4">
      <c r="B406" s="27" t="s">
        <v>448</v>
      </c>
      <c r="C406" s="27" t="s">
        <v>1107</v>
      </c>
      <c r="D406" s="27" t="s">
        <v>1088</v>
      </c>
    </row>
    <row r="407" spans="2:4">
      <c r="B407" s="27" t="s">
        <v>448</v>
      </c>
      <c r="C407" s="27" t="s">
        <v>1107</v>
      </c>
      <c r="D407" s="27" t="s">
        <v>1098</v>
      </c>
    </row>
    <row r="408" spans="2:4">
      <c r="B408" s="27" t="s">
        <v>448</v>
      </c>
      <c r="C408" s="27" t="s">
        <v>506</v>
      </c>
      <c r="D408" s="27" t="s">
        <v>679</v>
      </c>
    </row>
    <row r="409" spans="2:4">
      <c r="B409" s="27" t="s">
        <v>448</v>
      </c>
      <c r="C409" s="27" t="s">
        <v>506</v>
      </c>
      <c r="D409" s="27" t="s">
        <v>769</v>
      </c>
    </row>
    <row r="410" spans="2:4">
      <c r="B410" s="27" t="s">
        <v>448</v>
      </c>
      <c r="C410" s="27" t="s">
        <v>1108</v>
      </c>
      <c r="D410" s="27" t="s">
        <v>680</v>
      </c>
    </row>
    <row r="411" spans="2:4">
      <c r="B411" s="27" t="s">
        <v>448</v>
      </c>
      <c r="C411" s="27" t="s">
        <v>1108</v>
      </c>
      <c r="D411" s="27" t="s">
        <v>770</v>
      </c>
    </row>
    <row r="412" spans="2:4">
      <c r="B412" s="27" t="s">
        <v>448</v>
      </c>
      <c r="C412" s="27" t="s">
        <v>1108</v>
      </c>
      <c r="D412" s="27" t="s">
        <v>851</v>
      </c>
    </row>
    <row r="413" spans="2:4">
      <c r="B413" s="27" t="s">
        <v>448</v>
      </c>
      <c r="C413" s="27" t="s">
        <v>1108</v>
      </c>
      <c r="D413" s="27" t="s">
        <v>920</v>
      </c>
    </row>
    <row r="414" spans="2:4">
      <c r="B414" s="27" t="s">
        <v>448</v>
      </c>
      <c r="C414" s="27" t="s">
        <v>1108</v>
      </c>
      <c r="D414" s="27" t="s">
        <v>979</v>
      </c>
    </row>
    <row r="415" spans="2:4">
      <c r="B415" s="27" t="s">
        <v>448</v>
      </c>
      <c r="C415" s="27" t="s">
        <v>1108</v>
      </c>
      <c r="D415" s="27" t="s">
        <v>1020</v>
      </c>
    </row>
    <row r="416" spans="2:4">
      <c r="B416" s="27" t="s">
        <v>448</v>
      </c>
      <c r="C416" s="27" t="s">
        <v>1108</v>
      </c>
      <c r="D416" s="27" t="s">
        <v>1053</v>
      </c>
    </row>
    <row r="417" spans="2:99">
      <c r="B417" s="27" t="s">
        <v>448</v>
      </c>
      <c r="C417" s="27" t="s">
        <v>1108</v>
      </c>
      <c r="D417" s="27" t="s">
        <v>1074</v>
      </c>
    </row>
    <row r="418" spans="2:99">
      <c r="B418" s="27" t="s">
        <v>449</v>
      </c>
      <c r="C418" s="27" t="s">
        <v>470</v>
      </c>
      <c r="D418" s="27" t="s">
        <v>681</v>
      </c>
    </row>
    <row r="419" spans="2:99">
      <c r="B419" s="27" t="s">
        <v>449</v>
      </c>
      <c r="C419" s="27" t="s">
        <v>470</v>
      </c>
      <c r="D419" s="27" t="s">
        <v>771</v>
      </c>
    </row>
    <row r="420" spans="2:99">
      <c r="B420" s="27" t="s">
        <v>449</v>
      </c>
      <c r="C420" s="27" t="s">
        <v>470</v>
      </c>
      <c r="D420" s="27" t="s">
        <v>852</v>
      </c>
    </row>
    <row r="421" spans="2:99">
      <c r="B421" s="27" t="s">
        <v>449</v>
      </c>
      <c r="C421" s="27" t="s">
        <v>470</v>
      </c>
      <c r="D421" s="27" t="s">
        <v>921</v>
      </c>
    </row>
    <row r="422" spans="2:99">
      <c r="B422" s="27" t="s">
        <v>449</v>
      </c>
      <c r="C422" s="27" t="s">
        <v>470</v>
      </c>
      <c r="D422" s="27" t="s">
        <v>980</v>
      </c>
    </row>
    <row r="423" spans="2:99">
      <c r="B423" s="27" t="s">
        <v>449</v>
      </c>
      <c r="C423" s="27" t="s">
        <v>490</v>
      </c>
      <c r="D423" s="27" t="s">
        <v>682</v>
      </c>
    </row>
    <row r="424" spans="2:99">
      <c r="B424" s="27" t="s">
        <v>449</v>
      </c>
      <c r="C424" s="27" t="s">
        <v>490</v>
      </c>
      <c r="D424" s="27" t="s">
        <v>772</v>
      </c>
    </row>
    <row r="425" spans="2:99">
      <c r="B425" s="27" t="s">
        <v>449</v>
      </c>
      <c r="C425" s="27" t="s">
        <v>490</v>
      </c>
      <c r="D425" s="27" t="s">
        <v>853</v>
      </c>
      <c r="CN425" s="1">
        <v>1</v>
      </c>
      <c r="CO425" s="1">
        <v>0</v>
      </c>
      <c r="CP425" s="1">
        <v>0</v>
      </c>
      <c r="CQ425" s="1">
        <v>0</v>
      </c>
      <c r="CR425" s="1">
        <v>0</v>
      </c>
      <c r="CS425" s="1">
        <v>0</v>
      </c>
      <c r="CT425" s="1">
        <v>0</v>
      </c>
      <c r="CU425" s="1">
        <v>0</v>
      </c>
    </row>
    <row r="426" spans="2:99">
      <c r="B426" s="27" t="s">
        <v>449</v>
      </c>
      <c r="C426" s="27" t="s">
        <v>490</v>
      </c>
      <c r="D426" s="27" t="s">
        <v>922</v>
      </c>
      <c r="CN426" s="1">
        <v>1</v>
      </c>
      <c r="CO426" s="1">
        <v>0</v>
      </c>
      <c r="CP426" s="1">
        <v>0</v>
      </c>
      <c r="CQ426" s="1">
        <v>0</v>
      </c>
      <c r="CR426" s="1">
        <v>0</v>
      </c>
      <c r="CS426" s="1">
        <v>0</v>
      </c>
      <c r="CT426" s="1">
        <v>0</v>
      </c>
      <c r="CU426" s="1">
        <v>0</v>
      </c>
    </row>
    <row r="427" spans="2:99">
      <c r="B427" s="27" t="s">
        <v>449</v>
      </c>
      <c r="C427" s="27" t="s">
        <v>490</v>
      </c>
      <c r="D427" s="27" t="s">
        <v>981</v>
      </c>
      <c r="CN427" s="1">
        <v>1</v>
      </c>
      <c r="CO427" s="1">
        <v>0</v>
      </c>
      <c r="CP427" s="1">
        <v>0</v>
      </c>
      <c r="CQ427" s="1">
        <v>0</v>
      </c>
      <c r="CR427" s="1">
        <v>0</v>
      </c>
      <c r="CS427" s="1">
        <v>1</v>
      </c>
      <c r="CT427" s="1">
        <v>0</v>
      </c>
      <c r="CU427" s="1">
        <v>0</v>
      </c>
    </row>
    <row r="428" spans="2:99">
      <c r="B428" s="27" t="s">
        <v>449</v>
      </c>
      <c r="C428" s="27" t="s">
        <v>490</v>
      </c>
      <c r="D428" s="27" t="s">
        <v>1021</v>
      </c>
      <c r="CN428" s="1">
        <v>1</v>
      </c>
      <c r="CO428" s="1">
        <v>0</v>
      </c>
      <c r="CP428" s="1">
        <v>0</v>
      </c>
      <c r="CQ428" s="1">
        <v>0</v>
      </c>
      <c r="CR428" s="1">
        <v>0</v>
      </c>
      <c r="CS428" s="1">
        <v>1</v>
      </c>
      <c r="CT428" s="1">
        <v>0</v>
      </c>
      <c r="CU428" s="1">
        <v>0</v>
      </c>
    </row>
    <row r="429" spans="2:99">
      <c r="B429" s="27" t="s">
        <v>449</v>
      </c>
      <c r="C429" s="27" t="s">
        <v>490</v>
      </c>
      <c r="D429" s="27" t="s">
        <v>1054</v>
      </c>
      <c r="CN429" s="1">
        <v>1</v>
      </c>
      <c r="CO429" s="1">
        <v>0</v>
      </c>
      <c r="CP429" s="1">
        <v>0</v>
      </c>
      <c r="CQ429" s="1">
        <v>0</v>
      </c>
      <c r="CR429" s="1">
        <v>0</v>
      </c>
      <c r="CS429" s="1">
        <v>1</v>
      </c>
      <c r="CT429" s="1">
        <v>0</v>
      </c>
      <c r="CU429" s="1">
        <v>0</v>
      </c>
    </row>
    <row r="430" spans="2:99">
      <c r="B430" s="27" t="s">
        <v>449</v>
      </c>
      <c r="C430" s="27" t="s">
        <v>490</v>
      </c>
      <c r="D430" s="27" t="s">
        <v>1075</v>
      </c>
    </row>
    <row r="431" spans="2:99">
      <c r="B431" s="27" t="s">
        <v>449</v>
      </c>
      <c r="C431" s="27" t="s">
        <v>490</v>
      </c>
      <c r="D431" s="27" t="s">
        <v>1089</v>
      </c>
    </row>
    <row r="432" spans="2:99">
      <c r="B432" s="27" t="s">
        <v>449</v>
      </c>
      <c r="C432" s="27" t="s">
        <v>507</v>
      </c>
      <c r="D432" s="27" t="s">
        <v>683</v>
      </c>
    </row>
    <row r="433" spans="2:4">
      <c r="B433" s="27" t="s">
        <v>449</v>
      </c>
      <c r="C433" s="27" t="s">
        <v>507</v>
      </c>
      <c r="D433" s="27" t="s">
        <v>773</v>
      </c>
    </row>
    <row r="434" spans="2:4">
      <c r="B434" s="27" t="s">
        <v>449</v>
      </c>
      <c r="C434" s="27" t="s">
        <v>507</v>
      </c>
      <c r="D434" s="27" t="s">
        <v>854</v>
      </c>
    </row>
    <row r="435" spans="2:4">
      <c r="B435" s="27" t="s">
        <v>449</v>
      </c>
      <c r="C435" s="27" t="s">
        <v>507</v>
      </c>
      <c r="D435" s="27" t="s">
        <v>1127</v>
      </c>
    </row>
    <row r="436" spans="2:4">
      <c r="B436" s="27" t="s">
        <v>450</v>
      </c>
      <c r="C436" s="27" t="s">
        <v>471</v>
      </c>
      <c r="D436" s="27" t="s">
        <v>684</v>
      </c>
    </row>
    <row r="437" spans="2:4">
      <c r="B437" s="27" t="s">
        <v>450</v>
      </c>
      <c r="C437" s="27" t="s">
        <v>471</v>
      </c>
      <c r="D437" s="27" t="s">
        <v>774</v>
      </c>
    </row>
    <row r="438" spans="2:4">
      <c r="B438" s="27" t="s">
        <v>450</v>
      </c>
      <c r="C438" s="27" t="s">
        <v>471</v>
      </c>
      <c r="D438" s="27" t="s">
        <v>855</v>
      </c>
    </row>
    <row r="439" spans="2:4">
      <c r="B439" s="27" t="s">
        <v>450</v>
      </c>
      <c r="C439" s="27" t="s">
        <v>471</v>
      </c>
      <c r="D439" s="27" t="s">
        <v>923</v>
      </c>
    </row>
    <row r="440" spans="2:4">
      <c r="B440" s="27" t="s">
        <v>450</v>
      </c>
      <c r="C440" s="27" t="s">
        <v>471</v>
      </c>
      <c r="D440" s="27" t="s">
        <v>982</v>
      </c>
    </row>
    <row r="441" spans="2:4">
      <c r="B441" s="27" t="s">
        <v>450</v>
      </c>
      <c r="C441" s="27" t="s">
        <v>471</v>
      </c>
      <c r="D441" s="27" t="s">
        <v>1022</v>
      </c>
    </row>
    <row r="442" spans="2:4">
      <c r="B442" s="27" t="s">
        <v>450</v>
      </c>
      <c r="C442" s="27" t="s">
        <v>471</v>
      </c>
      <c r="D442" s="27" t="s">
        <v>1055</v>
      </c>
    </row>
    <row r="443" spans="2:4">
      <c r="B443" s="27" t="s">
        <v>450</v>
      </c>
      <c r="C443" s="27" t="s">
        <v>491</v>
      </c>
      <c r="D443" s="27" t="s">
        <v>685</v>
      </c>
    </row>
    <row r="444" spans="2:4">
      <c r="B444" s="27" t="s">
        <v>450</v>
      </c>
      <c r="C444" s="27" t="s">
        <v>491</v>
      </c>
      <c r="D444" s="27" t="s">
        <v>775</v>
      </c>
    </row>
    <row r="445" spans="2:4">
      <c r="B445" s="27" t="s">
        <v>450</v>
      </c>
      <c r="C445" s="27" t="s">
        <v>491</v>
      </c>
      <c r="D445" s="27" t="s">
        <v>856</v>
      </c>
    </row>
    <row r="446" spans="2:4">
      <c r="B446" s="27" t="s">
        <v>450</v>
      </c>
      <c r="C446" s="27" t="s">
        <v>491</v>
      </c>
      <c r="D446" s="27" t="s">
        <v>924</v>
      </c>
    </row>
    <row r="447" spans="2:4">
      <c r="B447" s="27" t="s">
        <v>450</v>
      </c>
      <c r="C447" s="27" t="s">
        <v>491</v>
      </c>
      <c r="D447" s="27" t="s">
        <v>983</v>
      </c>
    </row>
    <row r="448" spans="2:4">
      <c r="B448" s="27" t="s">
        <v>450</v>
      </c>
      <c r="C448" s="27" t="s">
        <v>491</v>
      </c>
      <c r="D448" s="27" t="s">
        <v>1023</v>
      </c>
    </row>
    <row r="449" spans="2:4">
      <c r="B449" s="27" t="s">
        <v>450</v>
      </c>
      <c r="C449" s="27" t="s">
        <v>491</v>
      </c>
      <c r="D449" s="27" t="s">
        <v>1056</v>
      </c>
    </row>
    <row r="450" spans="2:4">
      <c r="B450" s="27" t="s">
        <v>450</v>
      </c>
      <c r="C450" s="27" t="s">
        <v>508</v>
      </c>
      <c r="D450" s="27" t="s">
        <v>686</v>
      </c>
    </row>
    <row r="451" spans="2:4">
      <c r="B451" s="27" t="s">
        <v>450</v>
      </c>
      <c r="C451" s="27" t="s">
        <v>508</v>
      </c>
      <c r="D451" s="27" t="s">
        <v>776</v>
      </c>
    </row>
    <row r="452" spans="2:4">
      <c r="B452" s="27" t="s">
        <v>450</v>
      </c>
      <c r="C452" s="27" t="s">
        <v>508</v>
      </c>
      <c r="D452" s="27" t="s">
        <v>857</v>
      </c>
    </row>
    <row r="453" spans="2:4">
      <c r="B453" s="27" t="s">
        <v>450</v>
      </c>
      <c r="C453" s="27" t="s">
        <v>508</v>
      </c>
      <c r="D453" s="27" t="s">
        <v>925</v>
      </c>
    </row>
    <row r="454" spans="2:4">
      <c r="B454" s="27" t="s">
        <v>450</v>
      </c>
      <c r="C454" s="27" t="s">
        <v>508</v>
      </c>
      <c r="D454" s="27" t="s">
        <v>984</v>
      </c>
    </row>
    <row r="455" spans="2:4">
      <c r="B455" s="27" t="s">
        <v>450</v>
      </c>
      <c r="C455" s="27" t="s">
        <v>508</v>
      </c>
      <c r="D455" s="27" t="s">
        <v>1024</v>
      </c>
    </row>
    <row r="456" spans="2:4">
      <c r="B456" s="27" t="s">
        <v>450</v>
      </c>
      <c r="C456" s="27" t="s">
        <v>508</v>
      </c>
      <c r="D456" s="27" t="s">
        <v>1057</v>
      </c>
    </row>
    <row r="457" spans="2:4">
      <c r="B457" s="27" t="s">
        <v>450</v>
      </c>
      <c r="C457" s="27" t="s">
        <v>508</v>
      </c>
      <c r="D457" s="27" t="s">
        <v>1076</v>
      </c>
    </row>
    <row r="458" spans="2:4">
      <c r="B458" s="27" t="s">
        <v>451</v>
      </c>
      <c r="C458" s="27" t="s">
        <v>472</v>
      </c>
      <c r="D458" s="27" t="s">
        <v>687</v>
      </c>
    </row>
    <row r="459" spans="2:4">
      <c r="B459" s="27" t="s">
        <v>451</v>
      </c>
      <c r="C459" s="27" t="s">
        <v>472</v>
      </c>
      <c r="D459" s="27" t="s">
        <v>777</v>
      </c>
    </row>
    <row r="460" spans="2:4">
      <c r="B460" s="27" t="s">
        <v>451</v>
      </c>
      <c r="C460" s="27" t="s">
        <v>472</v>
      </c>
      <c r="D460" s="27" t="s">
        <v>926</v>
      </c>
    </row>
    <row r="461" spans="2:4">
      <c r="B461" s="27" t="s">
        <v>451</v>
      </c>
      <c r="C461" s="27" t="s">
        <v>472</v>
      </c>
      <c r="D461" s="27" t="s">
        <v>1128</v>
      </c>
    </row>
    <row r="462" spans="2:4">
      <c r="B462" s="27" t="s">
        <v>451</v>
      </c>
      <c r="C462" s="27" t="s">
        <v>472</v>
      </c>
      <c r="D462" s="27" t="s">
        <v>1025</v>
      </c>
    </row>
    <row r="463" spans="2:4">
      <c r="B463" s="27" t="s">
        <v>451</v>
      </c>
      <c r="C463" s="27" t="s">
        <v>472</v>
      </c>
      <c r="D463" s="27" t="s">
        <v>1058</v>
      </c>
    </row>
    <row r="464" spans="2:4">
      <c r="B464" s="27" t="s">
        <v>451</v>
      </c>
      <c r="C464" s="27" t="s">
        <v>472</v>
      </c>
      <c r="D464" s="27" t="s">
        <v>1077</v>
      </c>
    </row>
    <row r="465" spans="2:4">
      <c r="B465" s="27" t="s">
        <v>451</v>
      </c>
      <c r="C465" s="27" t="s">
        <v>472</v>
      </c>
      <c r="D465" s="27" t="s">
        <v>1090</v>
      </c>
    </row>
    <row r="466" spans="2:4">
      <c r="B466" s="27" t="s">
        <v>451</v>
      </c>
      <c r="C466" s="27" t="s">
        <v>472</v>
      </c>
      <c r="D466" s="27" t="s">
        <v>1099</v>
      </c>
    </row>
    <row r="467" spans="2:4">
      <c r="B467" s="27" t="s">
        <v>451</v>
      </c>
      <c r="C467" s="27" t="s">
        <v>472</v>
      </c>
      <c r="D467" s="27" t="s">
        <v>858</v>
      </c>
    </row>
    <row r="468" spans="2:4">
      <c r="B468" s="27" t="s">
        <v>451</v>
      </c>
      <c r="C468" s="27" t="s">
        <v>1109</v>
      </c>
      <c r="D468" s="27" t="s">
        <v>688</v>
      </c>
    </row>
    <row r="469" spans="2:4">
      <c r="B469" s="27" t="s">
        <v>451</v>
      </c>
      <c r="C469" s="27" t="s">
        <v>1109</v>
      </c>
      <c r="D469" s="27" t="s">
        <v>778</v>
      </c>
    </row>
    <row r="470" spans="2:4">
      <c r="B470" s="27" t="s">
        <v>451</v>
      </c>
      <c r="C470" s="27" t="s">
        <v>1109</v>
      </c>
      <c r="D470" s="27" t="s">
        <v>859</v>
      </c>
    </row>
    <row r="471" spans="2:4">
      <c r="B471" s="27" t="s">
        <v>451</v>
      </c>
      <c r="C471" s="27" t="s">
        <v>1109</v>
      </c>
      <c r="D471" s="27" t="s">
        <v>927</v>
      </c>
    </row>
    <row r="472" spans="2:4">
      <c r="B472" s="27" t="s">
        <v>451</v>
      </c>
      <c r="C472" s="27" t="s">
        <v>1109</v>
      </c>
      <c r="D472" s="27" t="s">
        <v>985</v>
      </c>
    </row>
    <row r="473" spans="2:4">
      <c r="B473" s="27" t="s">
        <v>451</v>
      </c>
      <c r="C473" s="27" t="s">
        <v>1109</v>
      </c>
      <c r="D473" s="27" t="s">
        <v>1026</v>
      </c>
    </row>
    <row r="474" spans="2:4">
      <c r="B474" s="27" t="s">
        <v>452</v>
      </c>
      <c r="C474" s="27" t="s">
        <v>473</v>
      </c>
      <c r="D474" s="27" t="s">
        <v>689</v>
      </c>
    </row>
    <row r="475" spans="2:4">
      <c r="B475" s="27" t="s">
        <v>452</v>
      </c>
      <c r="C475" s="27" t="s">
        <v>473</v>
      </c>
      <c r="D475" s="27" t="s">
        <v>779</v>
      </c>
    </row>
    <row r="476" spans="2:4">
      <c r="B476" s="27" t="s">
        <v>452</v>
      </c>
      <c r="C476" s="27" t="s">
        <v>473</v>
      </c>
      <c r="D476" s="27" t="s">
        <v>860</v>
      </c>
    </row>
    <row r="477" spans="2:4">
      <c r="B477" s="27" t="s">
        <v>452</v>
      </c>
      <c r="C477" s="27" t="s">
        <v>473</v>
      </c>
      <c r="D477" s="27" t="s">
        <v>928</v>
      </c>
    </row>
    <row r="478" spans="2:4">
      <c r="B478" s="27" t="s">
        <v>452</v>
      </c>
      <c r="C478" s="27" t="s">
        <v>473</v>
      </c>
      <c r="D478" s="27" t="s">
        <v>986</v>
      </c>
    </row>
    <row r="479" spans="2:4">
      <c r="B479" s="27" t="s">
        <v>452</v>
      </c>
      <c r="C479" s="27" t="s">
        <v>473</v>
      </c>
      <c r="D479" s="27" t="s">
        <v>1129</v>
      </c>
    </row>
    <row r="480" spans="2:4">
      <c r="B480" s="27" t="s">
        <v>452</v>
      </c>
      <c r="C480" s="27" t="s">
        <v>473</v>
      </c>
      <c r="D480" s="27" t="s">
        <v>1059</v>
      </c>
    </row>
    <row r="481" spans="2:4">
      <c r="B481" s="27" t="s">
        <v>452</v>
      </c>
      <c r="C481" s="27" t="s">
        <v>493</v>
      </c>
      <c r="D481" s="27" t="s">
        <v>690</v>
      </c>
    </row>
    <row r="482" spans="2:4">
      <c r="B482" s="27" t="s">
        <v>452</v>
      </c>
      <c r="C482" s="27" t="s">
        <v>493</v>
      </c>
      <c r="D482" s="27" t="s">
        <v>780</v>
      </c>
    </row>
    <row r="483" spans="2:4">
      <c r="B483" s="27" t="s">
        <v>452</v>
      </c>
      <c r="C483" s="27" t="s">
        <v>493</v>
      </c>
      <c r="D483" s="27" t="s">
        <v>861</v>
      </c>
    </row>
    <row r="484" spans="2:4">
      <c r="B484" s="27" t="s">
        <v>452</v>
      </c>
      <c r="C484" s="27" t="s">
        <v>493</v>
      </c>
      <c r="D484" s="27" t="s">
        <v>929</v>
      </c>
    </row>
    <row r="485" spans="2:4">
      <c r="B485" s="27" t="s">
        <v>452</v>
      </c>
      <c r="C485" s="27" t="s">
        <v>509</v>
      </c>
      <c r="D485" s="27" t="s">
        <v>691</v>
      </c>
    </row>
    <row r="486" spans="2:4">
      <c r="B486" s="27" t="s">
        <v>452</v>
      </c>
      <c r="C486" s="27" t="s">
        <v>509</v>
      </c>
      <c r="D486" s="27" t="s">
        <v>781</v>
      </c>
    </row>
    <row r="487" spans="2:4">
      <c r="B487" s="27" t="s">
        <v>452</v>
      </c>
      <c r="C487" s="27" t="s">
        <v>509</v>
      </c>
      <c r="D487" s="27" t="s">
        <v>862</v>
      </c>
    </row>
    <row r="488" spans="2:4">
      <c r="B488" s="27" t="s">
        <v>452</v>
      </c>
      <c r="C488" s="27" t="s">
        <v>509</v>
      </c>
      <c r="D488" s="27" t="s">
        <v>930</v>
      </c>
    </row>
    <row r="489" spans="2:4">
      <c r="B489" s="27" t="s">
        <v>452</v>
      </c>
      <c r="C489" s="27" t="s">
        <v>509</v>
      </c>
      <c r="D489" s="27" t="s">
        <v>987</v>
      </c>
    </row>
    <row r="490" spans="2:4">
      <c r="B490" s="27" t="s">
        <v>452</v>
      </c>
      <c r="C490" s="27" t="s">
        <v>509</v>
      </c>
      <c r="D490" s="27" t="s">
        <v>1027</v>
      </c>
    </row>
    <row r="491" spans="2:4">
      <c r="B491" s="27" t="s">
        <v>452</v>
      </c>
      <c r="C491" s="27" t="s">
        <v>509</v>
      </c>
      <c r="D491" s="27" t="s">
        <v>1060</v>
      </c>
    </row>
    <row r="492" spans="2:4">
      <c r="B492" s="27" t="s">
        <v>604</v>
      </c>
      <c r="C492" s="27" t="s">
        <v>474</v>
      </c>
      <c r="D492" s="27" t="s">
        <v>692</v>
      </c>
    </row>
    <row r="493" spans="2:4">
      <c r="B493" s="27" t="s">
        <v>604</v>
      </c>
      <c r="C493" s="27" t="s">
        <v>474</v>
      </c>
      <c r="D493" s="27" t="s">
        <v>782</v>
      </c>
    </row>
    <row r="494" spans="2:4">
      <c r="B494" s="27" t="s">
        <v>604</v>
      </c>
      <c r="C494" s="27" t="s">
        <v>474</v>
      </c>
      <c r="D494" s="27" t="s">
        <v>863</v>
      </c>
    </row>
    <row r="495" spans="2:4">
      <c r="B495" s="27" t="s">
        <v>604</v>
      </c>
      <c r="C495" s="27" t="s">
        <v>1110</v>
      </c>
      <c r="D495" s="27" t="s">
        <v>693</v>
      </c>
    </row>
    <row r="496" spans="2:4">
      <c r="B496" s="27" t="s">
        <v>604</v>
      </c>
      <c r="C496" s="27" t="s">
        <v>1110</v>
      </c>
      <c r="D496" s="27" t="s">
        <v>783</v>
      </c>
    </row>
    <row r="497" spans="2:4">
      <c r="B497" s="27" t="s">
        <v>604</v>
      </c>
      <c r="C497" s="27" t="s">
        <v>1110</v>
      </c>
      <c r="D497" s="27" t="s">
        <v>864</v>
      </c>
    </row>
    <row r="498" spans="2:4">
      <c r="B498" s="27" t="s">
        <v>605</v>
      </c>
      <c r="C498" s="27" t="s">
        <v>475</v>
      </c>
      <c r="D498" s="27" t="s">
        <v>694</v>
      </c>
    </row>
    <row r="499" spans="2:4">
      <c r="B499" s="27" t="s">
        <v>605</v>
      </c>
      <c r="C499" s="27" t="s">
        <v>475</v>
      </c>
      <c r="D499" s="27" t="s">
        <v>784</v>
      </c>
    </row>
    <row r="500" spans="2:4">
      <c r="B500" s="27" t="s">
        <v>605</v>
      </c>
      <c r="C500" s="27" t="s">
        <v>475</v>
      </c>
      <c r="D500" s="27" t="s">
        <v>865</v>
      </c>
    </row>
    <row r="501" spans="2:4">
      <c r="B501" s="27" t="s">
        <v>605</v>
      </c>
      <c r="C501" s="27" t="s">
        <v>475</v>
      </c>
      <c r="D501" s="27" t="s">
        <v>931</v>
      </c>
    </row>
    <row r="502" spans="2:4">
      <c r="B502" s="27" t="s">
        <v>605</v>
      </c>
      <c r="C502" s="27" t="s">
        <v>495</v>
      </c>
      <c r="D502" s="27" t="s">
        <v>695</v>
      </c>
    </row>
    <row r="503" spans="2:4">
      <c r="B503" s="27" t="s">
        <v>605</v>
      </c>
      <c r="C503" s="27" t="s">
        <v>495</v>
      </c>
      <c r="D503" s="27" t="s">
        <v>785</v>
      </c>
    </row>
    <row r="504" spans="2:4">
      <c r="B504" s="27" t="s">
        <v>605</v>
      </c>
      <c r="C504" s="27" t="s">
        <v>1111</v>
      </c>
      <c r="D504" s="27" t="s">
        <v>696</v>
      </c>
    </row>
    <row r="505" spans="2:4">
      <c r="B505" s="27" t="s">
        <v>605</v>
      </c>
      <c r="C505" s="27" t="s">
        <v>1111</v>
      </c>
      <c r="D505" s="27" t="s">
        <v>786</v>
      </c>
    </row>
    <row r="506" spans="2:4">
      <c r="B506" s="27" t="s">
        <v>605</v>
      </c>
      <c r="C506" s="27" t="s">
        <v>1111</v>
      </c>
      <c r="D506" s="27" t="s">
        <v>866</v>
      </c>
    </row>
    <row r="507" spans="2:4">
      <c r="B507" s="27" t="s">
        <v>605</v>
      </c>
      <c r="C507" s="27" t="s">
        <v>1111</v>
      </c>
      <c r="D507" s="27" t="s">
        <v>932</v>
      </c>
    </row>
    <row r="508" spans="2:4">
      <c r="B508" s="27" t="s">
        <v>605</v>
      </c>
      <c r="C508" s="27" t="s">
        <v>1111</v>
      </c>
      <c r="D508" s="27" t="s">
        <v>988</v>
      </c>
    </row>
    <row r="509" spans="2:4">
      <c r="B509" s="27" t="s">
        <v>605</v>
      </c>
      <c r="C509" s="27" t="s">
        <v>519</v>
      </c>
      <c r="D509" s="27" t="s">
        <v>697</v>
      </c>
    </row>
    <row r="510" spans="2:4">
      <c r="B510" s="27" t="s">
        <v>605</v>
      </c>
      <c r="C510" s="27" t="s">
        <v>519</v>
      </c>
      <c r="D510" s="27" t="s">
        <v>787</v>
      </c>
    </row>
    <row r="511" spans="2:4">
      <c r="B511" s="27" t="s">
        <v>605</v>
      </c>
      <c r="C511" s="27" t="s">
        <v>519</v>
      </c>
      <c r="D511" s="27" t="s">
        <v>867</v>
      </c>
    </row>
    <row r="512" spans="2:4">
      <c r="B512" s="27" t="s">
        <v>605</v>
      </c>
      <c r="C512" s="27" t="s">
        <v>526</v>
      </c>
      <c r="D512" s="27" t="s">
        <v>698</v>
      </c>
    </row>
    <row r="513" spans="2:4">
      <c r="B513" s="27" t="s">
        <v>605</v>
      </c>
      <c r="C513" s="27" t="s">
        <v>526</v>
      </c>
      <c r="D513" s="27" t="s">
        <v>788</v>
      </c>
    </row>
    <row r="514" spans="2:4">
      <c r="B514" s="27" t="s">
        <v>605</v>
      </c>
      <c r="C514" s="27" t="s">
        <v>526</v>
      </c>
      <c r="D514" s="27" t="s">
        <v>1130</v>
      </c>
    </row>
    <row r="515" spans="2:4">
      <c r="B515" s="27" t="s">
        <v>605</v>
      </c>
      <c r="C515" s="27" t="s">
        <v>526</v>
      </c>
      <c r="D515" s="27" t="s">
        <v>933</v>
      </c>
    </row>
    <row r="516" spans="2:4">
      <c r="B516" s="27" t="s">
        <v>605</v>
      </c>
      <c r="C516" s="27" t="s">
        <v>526</v>
      </c>
      <c r="D516" s="27" t="s">
        <v>989</v>
      </c>
    </row>
    <row r="517" spans="2:4">
      <c r="B517" s="27" t="s">
        <v>605</v>
      </c>
      <c r="C517" s="27" t="s">
        <v>532</v>
      </c>
      <c r="D517" s="27" t="s">
        <v>699</v>
      </c>
    </row>
    <row r="518" spans="2:4">
      <c r="B518" s="27" t="s">
        <v>605</v>
      </c>
      <c r="C518" s="27" t="s">
        <v>532</v>
      </c>
      <c r="D518" s="27" t="s">
        <v>789</v>
      </c>
    </row>
    <row r="519" spans="2:4">
      <c r="B519" s="27" t="s">
        <v>605</v>
      </c>
      <c r="C519" s="27" t="s">
        <v>532</v>
      </c>
      <c r="D519" s="27" t="s">
        <v>868</v>
      </c>
    </row>
    <row r="520" spans="2:4">
      <c r="B520" s="27" t="s">
        <v>605</v>
      </c>
      <c r="C520" s="27" t="s">
        <v>532</v>
      </c>
      <c r="D520" s="27" t="s">
        <v>934</v>
      </c>
    </row>
    <row r="521" spans="2:4">
      <c r="B521" s="27" t="s">
        <v>605</v>
      </c>
      <c r="C521" s="27" t="s">
        <v>532</v>
      </c>
      <c r="D521" s="27" t="s">
        <v>990</v>
      </c>
    </row>
    <row r="522" spans="2:4">
      <c r="B522" s="27" t="s">
        <v>605</v>
      </c>
      <c r="C522" s="27" t="s">
        <v>537</v>
      </c>
      <c r="D522" s="27" t="s">
        <v>700</v>
      </c>
    </row>
    <row r="523" spans="2:4">
      <c r="B523" s="27" t="s">
        <v>605</v>
      </c>
      <c r="C523" s="27" t="s">
        <v>537</v>
      </c>
      <c r="D523" s="27" t="s">
        <v>790</v>
      </c>
    </row>
    <row r="524" spans="2:4">
      <c r="B524" s="27" t="s">
        <v>605</v>
      </c>
      <c r="C524" s="27" t="s">
        <v>537</v>
      </c>
      <c r="D524" s="27" t="s">
        <v>869</v>
      </c>
    </row>
    <row r="525" spans="2:4">
      <c r="B525" s="27" t="s">
        <v>605</v>
      </c>
      <c r="C525" s="27" t="s">
        <v>537</v>
      </c>
      <c r="D525" s="27" t="s">
        <v>935</v>
      </c>
    </row>
    <row r="526" spans="2:4">
      <c r="B526" s="27" t="s">
        <v>605</v>
      </c>
      <c r="C526" s="27" t="s">
        <v>542</v>
      </c>
      <c r="D526" s="27" t="s">
        <v>1112</v>
      </c>
    </row>
    <row r="527" spans="2:4">
      <c r="B527" s="27" t="s">
        <v>605</v>
      </c>
      <c r="C527" s="27" t="s">
        <v>542</v>
      </c>
      <c r="D527" s="27" t="s">
        <v>791</v>
      </c>
    </row>
    <row r="528" spans="2:4">
      <c r="B528" s="27" t="s">
        <v>605</v>
      </c>
      <c r="C528" s="27" t="s">
        <v>542</v>
      </c>
      <c r="D528" s="27" t="s">
        <v>870</v>
      </c>
    </row>
    <row r="529" spans="2:4">
      <c r="B529" s="27" t="s">
        <v>605</v>
      </c>
      <c r="C529" s="27" t="s">
        <v>542</v>
      </c>
      <c r="D529" s="27" t="s">
        <v>936</v>
      </c>
    </row>
    <row r="530" spans="2:4">
      <c r="B530" s="27" t="s">
        <v>605</v>
      </c>
      <c r="C530" s="27" t="s">
        <v>1113</v>
      </c>
      <c r="D530" s="27" t="s">
        <v>1114</v>
      </c>
    </row>
    <row r="531" spans="2:4">
      <c r="B531" s="27" t="s">
        <v>605</v>
      </c>
      <c r="C531" s="27" t="s">
        <v>1113</v>
      </c>
      <c r="D531" s="27" t="s">
        <v>1115</v>
      </c>
    </row>
    <row r="532" spans="2:4">
      <c r="B532" s="27" t="s">
        <v>606</v>
      </c>
      <c r="C532" s="27" t="s">
        <v>476</v>
      </c>
      <c r="D532" s="27" t="s">
        <v>702</v>
      </c>
    </row>
    <row r="533" spans="2:4">
      <c r="B533" s="27" t="s">
        <v>606</v>
      </c>
      <c r="C533" s="27" t="s">
        <v>476</v>
      </c>
      <c r="D533" s="27" t="s">
        <v>793</v>
      </c>
    </row>
    <row r="534" spans="2:4">
      <c r="B534" s="27" t="s">
        <v>606</v>
      </c>
      <c r="C534" s="27" t="s">
        <v>476</v>
      </c>
      <c r="D534" s="27" t="s">
        <v>871</v>
      </c>
    </row>
    <row r="535" spans="2:4">
      <c r="B535" s="27" t="s">
        <v>606</v>
      </c>
      <c r="C535" s="27" t="s">
        <v>496</v>
      </c>
      <c r="D535" s="27" t="s">
        <v>1131</v>
      </c>
    </row>
    <row r="536" spans="2:4">
      <c r="B536" s="27" t="s">
        <v>606</v>
      </c>
      <c r="C536" s="27" t="s">
        <v>496</v>
      </c>
      <c r="D536" s="27" t="s">
        <v>1132</v>
      </c>
    </row>
    <row r="537" spans="2:4">
      <c r="B537" s="27" t="s">
        <v>607</v>
      </c>
      <c r="C537" s="27" t="s">
        <v>477</v>
      </c>
      <c r="D537" s="27" t="s">
        <v>1116</v>
      </c>
    </row>
  </sheetData>
  <sheetProtection algorithmName="SHA-512" hashValue="N1OTXgPrnc9BHS2hj/gAKXjveY6EOIv9O37iV0sYz6tQnjQ/vpQFoO2+iPNGMhu224OqjKOlCAqc3cHuwYbEOQ==" saltValue="/lj90V6eLP83gkc+vS/AwQ==" spinCount="100000" sheet="1" objects="1" scenarios="1" selectLockedCells="1" selectUnlockedCells="1"/>
  <phoneticPr fontId="1"/>
  <conditionalFormatting sqref="B3:C244 B245 B246:C323 B325:C358 B359 B360:C435 B437:C494 B495 B496:C531 B533:C536">
    <cfRule type="expression" dxfId="4" priority="1">
      <formula>B2=B3</formula>
    </cfRule>
  </conditionalFormatting>
  <conditionalFormatting sqref="B324:C324">
    <cfRule type="expression" dxfId="3" priority="4">
      <formula>B318=B324</formula>
    </cfRule>
  </conditionalFormatting>
  <conditionalFormatting sqref="B436:C436">
    <cfRule type="expression" dxfId="2" priority="5">
      <formula>B434=B436</formula>
    </cfRule>
  </conditionalFormatting>
  <conditionalFormatting sqref="B532:C532">
    <cfRule type="expression" dxfId="1" priority="2">
      <formula>B529=B532</formula>
    </cfRule>
  </conditionalFormatting>
  <conditionalFormatting sqref="C245 C359 C495">
    <cfRule type="expression" dxfId="0" priority="3">
      <formula>#REF!=C245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04ABFB2F5853E45A5E1E8359479D2F5" ma:contentTypeVersion="15" ma:contentTypeDescription="新しいドキュメントを作成します。" ma:contentTypeScope="" ma:versionID="0844fa9ee4f215509cfac5e132cd0259">
  <xsd:schema xmlns:xsd="http://www.w3.org/2001/XMLSchema" xmlns:xs="http://www.w3.org/2001/XMLSchema" xmlns:p="http://schemas.microsoft.com/office/2006/metadata/properties" xmlns:ns2="70733d66-83d5-48d3-890d-bf0e05cb915a" xmlns:ns3="e21df260-52e9-4da6-a72a-d9dfb1f5556b" targetNamespace="http://schemas.microsoft.com/office/2006/metadata/properties" ma:root="true" ma:fieldsID="e96c62d4fba89e047cbdb347ca501129" ns2:_="" ns3:_="">
    <xsd:import namespace="70733d66-83d5-48d3-890d-bf0e05cb915a"/>
    <xsd:import namespace="e21df260-52e9-4da6-a72a-d9dfb1f555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33d66-83d5-48d3-890d-bf0e05cb91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1df260-52e9-4da6-a72a-d9dfb1f5556b"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15ae60ca-091e-4d95-8883-a0ee69a312d9}" ma:internalName="TaxCatchAll" ma:showField="CatchAllData" ma:web="e21df260-52e9-4da6-a72a-d9dfb1f555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21df260-52e9-4da6-a72a-d9dfb1f5556b" xsi:nil="true"/>
    <lcf76f155ced4ddcb4097134ff3c332f xmlns="70733d66-83d5-48d3-890d-bf0e05cb915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CAEFDA5-712D-4DAA-8A39-32D3DDCE2F9F}">
  <ds:schemaRefs>
    <ds:schemaRef ds:uri="http://schemas.microsoft.com/sharepoint/v3/contenttype/forms"/>
  </ds:schemaRefs>
</ds:datastoreItem>
</file>

<file path=customXml/itemProps2.xml><?xml version="1.0" encoding="utf-8"?>
<ds:datastoreItem xmlns:ds="http://schemas.openxmlformats.org/officeDocument/2006/customXml" ds:itemID="{D1382792-7F3F-41FC-9E7A-DE53893ED715}"/>
</file>

<file path=customXml/itemProps3.xml><?xml version="1.0" encoding="utf-8"?>
<ds:datastoreItem xmlns:ds="http://schemas.openxmlformats.org/officeDocument/2006/customXml" ds:itemID="{FDF15E4E-CAC3-430F-8E12-750A8F3C8E65}">
  <ds:schemaRefs>
    <ds:schemaRef ds:uri="f7509037-eb30-442c-93c9-734b73738437"/>
    <ds:schemaRef ds:uri="http://schemas.microsoft.com/office/infopath/2007/PartnerControls"/>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2386446a-c0b8-475b-98d2-f559b15829c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21</vt:i4>
      </vt:variant>
    </vt:vector>
  </HeadingPairs>
  <TitlesOfParts>
    <vt:vector size="26" baseType="lpstr">
      <vt:lpstr>選択ガイド</vt:lpstr>
      <vt:lpstr>①申請者情報</vt:lpstr>
      <vt:lpstr>②補助事業情報</vt:lpstr>
      <vt:lpstr>③経費明細書</vt:lpstr>
      <vt:lpstr>【参考】業種</vt:lpstr>
      <vt:lpstr>A_農業・林業</vt:lpstr>
      <vt:lpstr>B_漁業</vt:lpstr>
      <vt:lpstr>C_鉱業・採石業・砂利採取業</vt:lpstr>
      <vt:lpstr>D_建設業</vt:lpstr>
      <vt:lpstr>E_製造業</vt:lpstr>
      <vt:lpstr>F_電気・ガス・熱供給・水道業</vt:lpstr>
      <vt:lpstr>G_情報通信業</vt:lpstr>
      <vt:lpstr>H_運輸業・郵便業</vt:lpstr>
      <vt:lpstr>I_卸売業・小売業</vt:lpstr>
      <vt:lpstr>J_金融業・保険業</vt:lpstr>
      <vt:lpstr>K_不動産業・物品賃貸業</vt:lpstr>
      <vt:lpstr>L_学術研究・専門・技術サービス業</vt:lpstr>
      <vt:lpstr>M_宿泊業・飲食サービス業</vt:lpstr>
      <vt:lpstr>N_生活関連サービス業・娯楽業</vt:lpstr>
      <vt:lpstr>O_教育・学習支援業</vt:lpstr>
      <vt:lpstr>P_医療・福祉</vt:lpstr>
      <vt:lpstr>②補助事業情報!Print_Area</vt:lpstr>
      <vt:lpstr>Q_複合サービス事業</vt:lpstr>
      <vt:lpstr>R_サービス業_他に分類されないもの</vt:lpstr>
      <vt:lpstr>S_公務_他に分類されるものを除く</vt:lpstr>
      <vt:lpstr>T_分類不能の産業</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2024-04-04T02:42:53Z</dcterms:created>
  <dcterms:modified xsi:type="dcterms:W3CDTF">2025-04-16T08:24:30Z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0x010100D04ABFB2F5853E45A5E1E8359479D2F5</vt:lpwstr>
  </property>
  <property fmtid="{D5CDD505-2E9C-101B-9397-08002B2CF9AE}" pid="3" name="MediaServiceImageTags">
    <vt:lpwstr/>
  </property>
</Properties>
</file>