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6"/>
  <workbookPr codeName="ThisWorkbook" defaultThemeVersion="166925"/>
  <mc:AlternateContent xmlns:mc="http://schemas.openxmlformats.org/markup-compatibility/2006">
    <mc:Choice Requires="x15">
      <x15ac:absPath xmlns:x15ac="http://schemas.microsoft.com/office/spreadsheetml/2010/11/ac" url="C:\Users\Shiomi.Matsumoto\Downloads\"/>
    </mc:Choice>
  </mc:AlternateContent>
  <xr:revisionPtr revIDLastSave="0" documentId="13_ncr:1_{67F77F96-86B6-497E-A374-35305DACD2F1}" xr6:coauthVersionLast="47" xr6:coauthVersionMax="47" xr10:uidLastSave="{00000000-0000-0000-0000-000000000000}"/>
  <workbookProtection workbookAlgorithmName="SHA-512" workbookHashValue="MvA92orW911Th7PHGzPndaotfdeftl25yLbtMzizdpOMHihlj4OkRJdRNAvskUCQ0BTN9zZac7VpfQfVxUmxdw==" workbookSaltValue="ebvSfR2q2EknWpJmpVZxKw==" workbookSpinCount="100000" lockStructure="1"/>
  <bookViews>
    <workbookView xWindow="-110" yWindow="-110" windowWidth="19420" windowHeight="12300" xr2:uid="{4D0A0321-FE24-4E40-81EE-46E7A2D6975F}"/>
  </bookViews>
  <sheets>
    <sheet name="①申請者情報" sheetId="17" r:id="rId1"/>
    <sheet name="②補助事業情報" sheetId="1" r:id="rId2"/>
    <sheet name="③経費明細書" sheetId="18" r:id="rId3"/>
    <sheet name="【参考】業種" sheetId="342" r:id="rId4"/>
  </sheets>
  <definedNames>
    <definedName name="_01_農業">【参考】業種!$F$35:$F$39</definedName>
    <definedName name="_02_林業">【参考】業種!$G$35:$G$40</definedName>
    <definedName name="_03_漁業_水産養殖業を除く">【参考】業種!$H$35:$H$37</definedName>
    <definedName name="_04_水産養殖業">【参考】業種!$I$35:$I$37</definedName>
    <definedName name="_05_鉱業・採石業・砂利採取業">【参考】業種!$J$35:$J$41</definedName>
    <definedName name="_06_総合工事業">【参考】業種!$K$35:$K$41</definedName>
    <definedName name="_07_職別工事業_設備工事業を除く">【参考】業種!$L$35:$L$44</definedName>
    <definedName name="_08_設備工事業">【参考】業種!$M$35:$M$40</definedName>
    <definedName name="_09_食料品製造業">【参考】業種!$N$35:$N$44</definedName>
    <definedName name="_10_飲料・たばこ・飼料製造業">【参考】業種!$O$35:$O$41</definedName>
    <definedName name="_11_繊維工業">【参考】業種!$P$35:$P$44</definedName>
    <definedName name="_12_木材・木製品製造業_家具を除く">【参考】業種!$Q$35:$Q$39</definedName>
    <definedName name="_13_家具・装備品製造業">【参考】業種!$R$35:$R$39</definedName>
    <definedName name="_14_パルプ・紙・紙加工品製造業">【参考】業種!$S$35:$S$41</definedName>
    <definedName name="_15_印刷・同関連業">【参考】業種!$T$35:$T$39</definedName>
    <definedName name="_16_化学工業">【参考】業種!$U$35:$U$42</definedName>
    <definedName name="_17_石油製品・石炭製品製造業">【参考】業種!$V$35:$V$40</definedName>
    <definedName name="_18_プラスチック製品製造業_別掲を除く">【参考】業種!$W$35:$W$41</definedName>
    <definedName name="_19_ゴム製品製造業">【参考】業種!$X$35:$X$39</definedName>
    <definedName name="_20_なめし革・同製品・毛皮製造業">【参考】業種!$Y$35:$Y$44</definedName>
    <definedName name="_21_窯業・土石製品製造業">【参考】業種!$Z$35:$Z$44</definedName>
    <definedName name="_22_鉄鋼業">【参考】業種!$AA$35:$AA$41</definedName>
    <definedName name="_23_非鉄金属製造業">【参考】業種!$AB$35:$AB$41</definedName>
    <definedName name="_24_金属製品製造業">【参考】業種!$AC$35:$AC$44</definedName>
    <definedName name="_25_はん用機械器具製造業">【参考】業種!$AD$35:$AD$39</definedName>
    <definedName name="_26_生産用機械器具製造業">【参考】業種!$AE$35:$AE$43</definedName>
    <definedName name="_27_業務用機械器具製造業">【参考】業種!$AF$35:$AF$41</definedName>
    <definedName name="_28_電子部品・デバイス・電子回路製造業">【参考】業種!$AG$35:$AG$41</definedName>
    <definedName name="_29_電気機械器具製造業">【参考】業種!$AH$35:$AH$43</definedName>
    <definedName name="_30_情報通信機械器具製造業">【参考】業種!$AI$35:$AI$38</definedName>
    <definedName name="_31_輸送用機械器具製造業">【参考】業種!$AJ$35:$AJ$41</definedName>
    <definedName name="_32_その他の製造業">【参考】業種!$AK$35:$AK$44</definedName>
    <definedName name="_33_電気業">【参考】業種!$AL$35:$AL$36</definedName>
    <definedName name="_34_ガス業">【参考】業種!$AM$35:$AM$36</definedName>
    <definedName name="_35_熱供給業">【参考】業種!$AN$35:$AN$36</definedName>
    <definedName name="_36_水道業">【参考】業種!$AO$35:$AO$38</definedName>
    <definedName name="_37_通信業">【参考】業種!$AP$35:$AP$38</definedName>
    <definedName name="_38_放送業">【参考】業種!$AQ$35:$AQ$38</definedName>
    <definedName name="_39_情報サービス業">【参考】業種!$AR$35:$AR$37</definedName>
    <definedName name="_40_インターネット附随サービス業">【参考】業種!$AS$35:$AS$36</definedName>
    <definedName name="_41_映像・音声・文字情報制作業">【参考】業種!$AT$35:$AT$41</definedName>
    <definedName name="_42_鉄道業">【参考】業種!$AU$35:$AU$36</definedName>
    <definedName name="_43_道路旅客運送業">【参考】業種!$AV$35:$AV$39</definedName>
    <definedName name="_44_道路貨物運送業">【参考】業種!$AW$35:$AW$40</definedName>
    <definedName name="_45_水運業">【参考】業種!$AX$35:$AX$39</definedName>
    <definedName name="_46_航空運輸業">【参考】業種!$AY$35:$AY$37</definedName>
    <definedName name="_47_倉庫業">【参考】業種!$AZ$35:$AZ$37</definedName>
    <definedName name="_48_運輸に附帯するサービス業">【参考】業種!$BA$35:$BA$41</definedName>
    <definedName name="_49_郵便業_信書便事業を含む">【参考】業種!$BB$35:$BB$36</definedName>
    <definedName name="_50_各種商品卸売業">【参考】業種!$BC$35:$BC$36</definedName>
    <definedName name="_51_繊維・衣服等卸売業">【参考】業種!$BD$35:$BD$38</definedName>
    <definedName name="_52_飲食料品卸売業">【参考】業種!$BE$35:$BE$37</definedName>
    <definedName name="_53_建築材料・鉱物・金属材料等卸売業">【参考】業種!$BF$35:$BF$41</definedName>
    <definedName name="_54_機械器具卸売業">【参考】業種!$BG$35:$BG$39</definedName>
    <definedName name="_55_その他の卸売業">【参考】業種!$BH$35:$BH$39</definedName>
    <definedName name="_56_各種商品小売業">【参考】業種!$BI$35:$BI$42</definedName>
    <definedName name="_57_織物・衣服・身の回り品小売業">【参考】業種!$BJ$35:$BJ$40</definedName>
    <definedName name="_58_飲食料品小売業">【参考】業種!$BK$35:$BK$42</definedName>
    <definedName name="_59_機械器具小売業">【参考】業種!$BL$35:$BL$38</definedName>
    <definedName name="_60_その他の小売業">【参考】業種!$BM$35:$BM$44</definedName>
    <definedName name="_61_無店舗小売業">【参考】業種!$BN$35:$BN$38</definedName>
    <definedName name="_62_銀行業">【参考】業種!$BO$35:$BO$37</definedName>
    <definedName name="_63_協同組織金融業">【参考】業種!$BP$35:$BP$37</definedName>
    <definedName name="_64_貸金業・クレジットカード業等非預金信用機関">【参考】業種!$BQ$35:$BQ$39</definedName>
    <definedName name="_65_金融商品取引業・商品先物取引業">【参考】業種!$BR$35:$BR$37</definedName>
    <definedName name="_66_補助的金融業等">【参考】業種!$BS$35:$BS$38</definedName>
    <definedName name="_67_保険業_保険媒介代理業・保険サービス業を含む">【参考】業種!$BT$35:$BT$40</definedName>
    <definedName name="_68_不動産取引業">【参考】業種!$BU$35:$BU$37</definedName>
    <definedName name="_69_不動産賃貸業・管理業">【参考】業種!$BV$35:$BV$39</definedName>
    <definedName name="_70_物品賃貸業">【参考】業種!$BW$35:$BW$41</definedName>
    <definedName name="_71_学術・開発研究機関">【参考】業種!$BX$35:$BX$37</definedName>
    <definedName name="_72_専門サービス業_他に分類されないもの">【参考】業種!$BY$35:$BY$44</definedName>
    <definedName name="_73_広告業">【参考】業種!$BZ$35:$BZ$36</definedName>
    <definedName name="_74_技術サービス業_他に分類されないもの">【参考】業種!$CA$35:$CA$42</definedName>
    <definedName name="_75_宿泊業">【参考】業種!$CB$35:$CB$39</definedName>
    <definedName name="_76_飲食店">【参考】業種!$CC$35:$CC$43</definedName>
    <definedName name="_77_持ち帰り・配達飲食サービス業">【参考】業種!$CD$35:$CD$38</definedName>
    <definedName name="_78_洗濯・理容・美容・浴場業">【参考】業種!$CE$35:$CE$41</definedName>
    <definedName name="_79_その他の生活関連サービス業">【参考】業種!$CF$35:$CF$41</definedName>
    <definedName name="_80_娯楽業">【参考】業種!$CG$35:$CG$42</definedName>
    <definedName name="_81_学校教育">【参考】業種!$CH$35:$CH$44</definedName>
    <definedName name="_82_その他の教育・学習支援業">【参考】業種!$CI$35:$CI$40</definedName>
    <definedName name="_83_医療業">【参考】業種!$CJ$35:$CJ$41</definedName>
    <definedName name="_84_保健衛生">【参考】業種!$CK$35:$CK$38</definedName>
    <definedName name="_85_社会保険・社会福祉・介護事業">【参考】業種!$CL$35:$CL$41</definedName>
    <definedName name="_86_郵便局">【参考】業種!$CM$35:$CM$37</definedName>
    <definedName name="_87_協同組合_他に分類されないもの">【参考】業種!$CN$35:$CN$37</definedName>
    <definedName name="_88_廃棄物処理業">【参考】業種!$CO$35:$CO$38</definedName>
    <definedName name="_89_自動車整備業">【参考】業種!$CP$35:$CP$36</definedName>
    <definedName name="_90_機械等修理業_別掲を除く">【参考】業種!$CQ$35:$CQ$39</definedName>
    <definedName name="_91_職業紹介・労働者派遣業">【参考】業種!$CR$35:$CR$37</definedName>
    <definedName name="_92_その他の事業サービス業">【参考】業種!$CS$35:$CS$39</definedName>
    <definedName name="_93_政治・経済・文化団体">【参考】業種!$CT$35:$CT$39</definedName>
    <definedName name="_94_宗教">【参考】業種!$CU$35:$CU$38</definedName>
    <definedName name="_95_その他のサービス業">【参考】業種!$CV$35:$CV$38</definedName>
    <definedName name="_96_外国公務">【参考】業種!$CW$35:$CW$36</definedName>
    <definedName name="_97_国家公務">【参考】業種!$CX$35:$CX$37</definedName>
    <definedName name="_98_地方公務">【参考】業種!$CY$35:$CY$36</definedName>
    <definedName name="_99_分類不能の産業">【参考】業種!$CZ$35</definedName>
    <definedName name="_xlnm._FilterDatabase" localSheetId="3" hidden="1">【参考】業種!$B$3:$DA$3</definedName>
    <definedName name="A_農業・林業">【参考】業種!$F$3:$F$4</definedName>
    <definedName name="B_漁業">【参考】業種!$G$3:$G$4</definedName>
    <definedName name="C_鉱業・採石業・砂利採取業">【参考】業種!$H$3</definedName>
    <definedName name="D_建設業">【参考】業種!$I$3:$I$5</definedName>
    <definedName name="E_製造業">【参考】業種!$J$3:$J$26</definedName>
    <definedName name="F_電気・ガス・熱供給・水道業">【参考】業種!$K$3:$K$6</definedName>
    <definedName name="G_情報通信業">【参考】業種!$L$3:$L$7</definedName>
    <definedName name="H_運輸業・郵便業">【参考】業種!$M$3:$M$10</definedName>
    <definedName name="I_卸売業・小売業">【参考】業種!$N$3:$N$14</definedName>
    <definedName name="J_金融業・保険業">【参考】業種!$O$3:$O$8</definedName>
    <definedName name="K_不動産業・物品賃貸業">【参考】業種!$P$3:$P$5</definedName>
    <definedName name="L_学術研究・専門・技術サービス業">【参考】業種!$Q$3:$Q$6</definedName>
    <definedName name="M_宿泊業・飲食サービス業">【参考】業種!$R$3:$R$5</definedName>
    <definedName name="N_生活関連サービス業・娯楽業">【参考】業種!$S$3:$S$5</definedName>
    <definedName name="O_教育・学習支援業">【参考】業種!$T$3:$T$4</definedName>
    <definedName name="P_医療・福祉">【参考】業種!$U$3:$U$5</definedName>
    <definedName name="_xlnm.Print_Area" localSheetId="1">②補助事業情報!$A$1:$Q$136</definedName>
    <definedName name="Q_複合サービス事業">【参考】業種!$V$3:$V$4</definedName>
    <definedName name="R_サービス業_他に分類されないもの">【参考】業種!$W$3:$W$11</definedName>
    <definedName name="S_公務_他に分類されるものを除く">【参考】業種!$X$3:$X$4</definedName>
    <definedName name="T_分類不能の産業">【参考】業種!$Y$3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0" i="17" l="1"/>
  <c r="E96" i="17"/>
  <c r="E102" i="17"/>
  <c r="E108" i="17"/>
  <c r="E114" i="17"/>
  <c r="E120" i="17"/>
  <c r="E126" i="17"/>
  <c r="E84" i="17"/>
  <c r="E78" i="17"/>
  <c r="E72" i="17"/>
  <c r="F143" i="1" l="1"/>
  <c r="J15" i="18"/>
  <c r="E227" i="17" l="1"/>
  <c r="E223" i="17"/>
  <c r="I65" i="18" l="1"/>
  <c r="H65" i="18"/>
  <c r="J44" i="18"/>
  <c r="BJ37" i="18"/>
  <c r="BJ36" i="18"/>
  <c r="BJ35" i="18"/>
  <c r="BJ38" i="18" s="1"/>
  <c r="BJ33" i="18"/>
  <c r="BJ32" i="18"/>
  <c r="BJ31" i="18"/>
  <c r="BJ34" i="18" s="1"/>
  <c r="BJ29" i="18"/>
  <c r="BJ30" i="18" s="1"/>
  <c r="BJ28" i="18"/>
  <c r="BJ27" i="18"/>
  <c r="BJ25" i="18"/>
  <c r="BJ24" i="18"/>
  <c r="BJ23" i="18"/>
  <c r="BJ26" i="18" s="1"/>
  <c r="BJ21" i="18"/>
  <c r="BJ20" i="18"/>
  <c r="BJ19" i="18"/>
  <c r="BJ16" i="18" s="1"/>
  <c r="BD37" i="18"/>
  <c r="BD36" i="18"/>
  <c r="BD35" i="18"/>
  <c r="BD38" i="18" s="1"/>
  <c r="BD33" i="18"/>
  <c r="BD32" i="18"/>
  <c r="BD31" i="18"/>
  <c r="BD29" i="18"/>
  <c r="BD30" i="18" s="1"/>
  <c r="BD28" i="18"/>
  <c r="BD27" i="18"/>
  <c r="BD25" i="18"/>
  <c r="BD24" i="18"/>
  <c r="BD23" i="18"/>
  <c r="BD21" i="18"/>
  <c r="BD20" i="18"/>
  <c r="BD19" i="18"/>
  <c r="BD16" i="18" s="1"/>
  <c r="AX37" i="18"/>
  <c r="AX36" i="18"/>
  <c r="AX35" i="18"/>
  <c r="AX33" i="18"/>
  <c r="AX32" i="18"/>
  <c r="AX31" i="18"/>
  <c r="AX34" i="18" s="1"/>
  <c r="AX29" i="18"/>
  <c r="AX28" i="18"/>
  <c r="AX27" i="18"/>
  <c r="AX25" i="18"/>
  <c r="AX24" i="18"/>
  <c r="AX23" i="18"/>
  <c r="AX21" i="18"/>
  <c r="AX20" i="18"/>
  <c r="AX19" i="18"/>
  <c r="AZ15" i="18" s="1"/>
  <c r="AR37" i="18"/>
  <c r="AR36" i="18"/>
  <c r="AR35" i="18"/>
  <c r="AR38" i="18" s="1"/>
  <c r="AR33" i="18"/>
  <c r="AR32" i="18"/>
  <c r="AR31" i="18"/>
  <c r="AR29" i="18"/>
  <c r="AR30" i="18" s="1"/>
  <c r="AR28" i="18"/>
  <c r="AR27" i="18"/>
  <c r="AR25" i="18"/>
  <c r="AR24" i="18"/>
  <c r="AR23" i="18"/>
  <c r="AR21" i="18"/>
  <c r="AR20" i="18"/>
  <c r="AR19" i="18"/>
  <c r="AL37" i="18"/>
  <c r="AL36" i="18"/>
  <c r="AL35" i="18"/>
  <c r="AL33" i="18"/>
  <c r="AL32" i="18"/>
  <c r="AL31" i="18"/>
  <c r="AL34" i="18" s="1"/>
  <c r="AL29" i="18"/>
  <c r="AL28" i="18"/>
  <c r="AL30" i="18" s="1"/>
  <c r="AL27" i="18"/>
  <c r="AL25" i="18"/>
  <c r="AL24" i="18"/>
  <c r="AL23" i="18"/>
  <c r="AL21" i="18"/>
  <c r="AL20" i="18"/>
  <c r="AL19" i="18"/>
  <c r="AL16" i="18" s="1"/>
  <c r="AF37" i="18"/>
  <c r="AF36" i="18"/>
  <c r="AF35" i="18"/>
  <c r="AF38" i="18" s="1"/>
  <c r="AF33" i="18"/>
  <c r="AF32" i="18"/>
  <c r="AF31" i="18"/>
  <c r="AF34" i="18" s="1"/>
  <c r="AF29" i="18"/>
  <c r="AF28" i="18"/>
  <c r="AF27" i="18"/>
  <c r="AF25" i="18"/>
  <c r="AF24" i="18"/>
  <c r="AF23" i="18"/>
  <c r="AF21" i="18"/>
  <c r="AF20" i="18"/>
  <c r="AF19" i="18"/>
  <c r="Z37" i="18"/>
  <c r="Z36" i="18"/>
  <c r="Z35" i="18"/>
  <c r="Z38" i="18" s="1"/>
  <c r="Z33" i="18"/>
  <c r="Z32" i="18"/>
  <c r="Z31" i="18"/>
  <c r="Z29" i="18"/>
  <c r="Z28" i="18"/>
  <c r="Z27" i="18"/>
  <c r="Z30" i="18" s="1"/>
  <c r="Z25" i="18"/>
  <c r="Z24" i="18"/>
  <c r="Z23" i="18"/>
  <c r="Z26" i="18" s="1"/>
  <c r="Z21" i="18"/>
  <c r="Z20" i="18"/>
  <c r="Z19" i="18"/>
  <c r="Z22" i="18" s="1"/>
  <c r="T37" i="18"/>
  <c r="T36" i="18"/>
  <c r="T35" i="18"/>
  <c r="T33" i="18"/>
  <c r="T32" i="18"/>
  <c r="T31" i="18"/>
  <c r="T34" i="18" s="1"/>
  <c r="T29" i="18"/>
  <c r="T30" i="18" s="1"/>
  <c r="T28" i="18"/>
  <c r="T27" i="18"/>
  <c r="T25" i="18"/>
  <c r="T24" i="18"/>
  <c r="T23" i="18"/>
  <c r="T21" i="18"/>
  <c r="T20" i="18"/>
  <c r="T19" i="18"/>
  <c r="V15" i="18" s="1"/>
  <c r="N37" i="18"/>
  <c r="N36" i="18"/>
  <c r="N35" i="18"/>
  <c r="N38" i="18" s="1"/>
  <c r="N33" i="18"/>
  <c r="N32" i="18"/>
  <c r="N31" i="18"/>
  <c r="N29" i="18"/>
  <c r="N28" i="18"/>
  <c r="N27" i="18"/>
  <c r="N25" i="18"/>
  <c r="N24" i="18"/>
  <c r="N23" i="18"/>
  <c r="N21" i="18"/>
  <c r="N20" i="18"/>
  <c r="N19" i="18"/>
  <c r="N16" i="18" s="1"/>
  <c r="H37" i="18"/>
  <c r="H36" i="18"/>
  <c r="H35" i="18"/>
  <c r="H33" i="18"/>
  <c r="H32" i="18"/>
  <c r="H31" i="18"/>
  <c r="H29" i="18"/>
  <c r="H28" i="18"/>
  <c r="H27" i="18"/>
  <c r="H25" i="18"/>
  <c r="H24" i="18"/>
  <c r="H23" i="18"/>
  <c r="H21" i="18"/>
  <c r="H20" i="18"/>
  <c r="H19" i="18"/>
  <c r="BL15" i="18"/>
  <c r="BE16" i="18"/>
  <c r="AY16" i="18"/>
  <c r="AS16" i="18"/>
  <c r="AM16" i="18"/>
  <c r="AG16" i="18"/>
  <c r="AA16" i="18"/>
  <c r="U16" i="18"/>
  <c r="O16" i="18"/>
  <c r="O19" i="18"/>
  <c r="BK37" i="18"/>
  <c r="BK36" i="18"/>
  <c r="BK35" i="18"/>
  <c r="BK38" i="18" s="1"/>
  <c r="BK33" i="18"/>
  <c r="BK32" i="18"/>
  <c r="BK31" i="18"/>
  <c r="BK34" i="18" s="1"/>
  <c r="BK29" i="18"/>
  <c r="BK30" i="18" s="1"/>
  <c r="BK28" i="18"/>
  <c r="BK27" i="18"/>
  <c r="BK25" i="18"/>
  <c r="BK24" i="18"/>
  <c r="BK23" i="18"/>
  <c r="BK26" i="18" s="1"/>
  <c r="BK21" i="18"/>
  <c r="BK20" i="18"/>
  <c r="BK19" i="18"/>
  <c r="BK22" i="18" s="1"/>
  <c r="BE37" i="18"/>
  <c r="BE38" i="18" s="1"/>
  <c r="BE36" i="18"/>
  <c r="BE35" i="18"/>
  <c r="BE33" i="18"/>
  <c r="BE32" i="18"/>
  <c r="BD34" i="18"/>
  <c r="BE31" i="18"/>
  <c r="BE34" i="18" s="1"/>
  <c r="BE29" i="18"/>
  <c r="BE28" i="18"/>
  <c r="BE27" i="18"/>
  <c r="BE30" i="18" s="1"/>
  <c r="BD26" i="18"/>
  <c r="BE25" i="18"/>
  <c r="BE26" i="18" s="1"/>
  <c r="BE24" i="18"/>
  <c r="BE23" i="18"/>
  <c r="BE21" i="18"/>
  <c r="BE20" i="18"/>
  <c r="BE19" i="18"/>
  <c r="BE22" i="18" s="1"/>
  <c r="AY37" i="18"/>
  <c r="AY36" i="18"/>
  <c r="AY35" i="18"/>
  <c r="AY38" i="18" s="1"/>
  <c r="AX38" i="18"/>
  <c r="AY33" i="18"/>
  <c r="AY34" i="18" s="1"/>
  <c r="AY32" i="18"/>
  <c r="AY31" i="18"/>
  <c r="AY29" i="18"/>
  <c r="AY28" i="18"/>
  <c r="AX30" i="18"/>
  <c r="AY27" i="18"/>
  <c r="AY30" i="18" s="1"/>
  <c r="AY25" i="18"/>
  <c r="AY24" i="18"/>
  <c r="AY23" i="18"/>
  <c r="AY26" i="18" s="1"/>
  <c r="AX26" i="18"/>
  <c r="AY21" i="18"/>
  <c r="AY20" i="18"/>
  <c r="AY19" i="18"/>
  <c r="AS37" i="18"/>
  <c r="AS36" i="18"/>
  <c r="AS35" i="18"/>
  <c r="AS38" i="18" s="1"/>
  <c r="AS33" i="18"/>
  <c r="AS32" i="18"/>
  <c r="AS31" i="18"/>
  <c r="AS34" i="18" s="1"/>
  <c r="AR34" i="18"/>
  <c r="AS29" i="18"/>
  <c r="AS30" i="18" s="1"/>
  <c r="AS28" i="18"/>
  <c r="AS27" i="18"/>
  <c r="AS25" i="18"/>
  <c r="AS24" i="18"/>
  <c r="AR26" i="18"/>
  <c r="AS23" i="18"/>
  <c r="AS26" i="18" s="1"/>
  <c r="AS21" i="18"/>
  <c r="AS20" i="18"/>
  <c r="AS19" i="18"/>
  <c r="AS22" i="18" s="1"/>
  <c r="AR22" i="18"/>
  <c r="AL38" i="18"/>
  <c r="AM37" i="18"/>
  <c r="AM38" i="18" s="1"/>
  <c r="AM36" i="18"/>
  <c r="AM35" i="18"/>
  <c r="AM33" i="18"/>
  <c r="AM32" i="18"/>
  <c r="AM31" i="18"/>
  <c r="AM34" i="18" s="1"/>
  <c r="AM29" i="18"/>
  <c r="AM28" i="18"/>
  <c r="AM27" i="18"/>
  <c r="AM30" i="18" s="1"/>
  <c r="AL26" i="18"/>
  <c r="AM25" i="18"/>
  <c r="AM26" i="18" s="1"/>
  <c r="AM24" i="18"/>
  <c r="AM23" i="18"/>
  <c r="AM21" i="18"/>
  <c r="AM20" i="18"/>
  <c r="AM19" i="18"/>
  <c r="AM22" i="18" s="1"/>
  <c r="AG37" i="18"/>
  <c r="AG36" i="18"/>
  <c r="AG35" i="18"/>
  <c r="AG38" i="18" s="1"/>
  <c r="AG33" i="18"/>
  <c r="AG34" i="18" s="1"/>
  <c r="AG32" i="18"/>
  <c r="AG31" i="18"/>
  <c r="AG29" i="18"/>
  <c r="AG28" i="18"/>
  <c r="AF30" i="18"/>
  <c r="AG27" i="18"/>
  <c r="AG30" i="18" s="1"/>
  <c r="AG25" i="18"/>
  <c r="AG24" i="18"/>
  <c r="AG23" i="18"/>
  <c r="AG26" i="18" s="1"/>
  <c r="AF26" i="18"/>
  <c r="AG21" i="18"/>
  <c r="AG22" i="18" s="1"/>
  <c r="AG20" i="18"/>
  <c r="AG19" i="18"/>
  <c r="AA37" i="18"/>
  <c r="AA36" i="18"/>
  <c r="AA35" i="18"/>
  <c r="AA38" i="18" s="1"/>
  <c r="AA33" i="18"/>
  <c r="AA32" i="18"/>
  <c r="AA31" i="18"/>
  <c r="AA34" i="18" s="1"/>
  <c r="Z34" i="18"/>
  <c r="AA29" i="18"/>
  <c r="AA30" i="18" s="1"/>
  <c r="AA28" i="18"/>
  <c r="AA27" i="18"/>
  <c r="AA25" i="18"/>
  <c r="AA24" i="18"/>
  <c r="AA23" i="18"/>
  <c r="AA26" i="18" s="1"/>
  <c r="AA21" i="18"/>
  <c r="AA20" i="18"/>
  <c r="AA19" i="18"/>
  <c r="AA22" i="18" s="1"/>
  <c r="T38" i="18"/>
  <c r="U37" i="18"/>
  <c r="U38" i="18" s="1"/>
  <c r="U36" i="18"/>
  <c r="U35" i="18"/>
  <c r="U33" i="18"/>
  <c r="U32" i="18"/>
  <c r="U31" i="18"/>
  <c r="U34" i="18" s="1"/>
  <c r="U29" i="18"/>
  <c r="U28" i="18"/>
  <c r="U27" i="18"/>
  <c r="U30" i="18" s="1"/>
  <c r="T26" i="18"/>
  <c r="U25" i="18"/>
  <c r="U26" i="18" s="1"/>
  <c r="U24" i="18"/>
  <c r="U23" i="18"/>
  <c r="U21" i="18"/>
  <c r="U20" i="18"/>
  <c r="U19" i="18"/>
  <c r="U22" i="18" s="1"/>
  <c r="O37" i="18"/>
  <c r="O36" i="18"/>
  <c r="O35" i="18"/>
  <c r="O38" i="18" s="1"/>
  <c r="O33" i="18"/>
  <c r="O32" i="18"/>
  <c r="O31" i="18"/>
  <c r="O34" i="18" s="1"/>
  <c r="N34" i="18"/>
  <c r="N30" i="18"/>
  <c r="O29" i="18"/>
  <c r="O30" i="18" s="1"/>
  <c r="O28" i="18"/>
  <c r="O27" i="18"/>
  <c r="O25" i="18"/>
  <c r="O24" i="18"/>
  <c r="N26" i="18"/>
  <c r="O23" i="18"/>
  <c r="O26" i="18" s="1"/>
  <c r="O21" i="18"/>
  <c r="O20" i="18"/>
  <c r="O22" i="18"/>
  <c r="N22" i="18"/>
  <c r="I37" i="18"/>
  <c r="I36" i="18"/>
  <c r="I35" i="18"/>
  <c r="I33" i="18"/>
  <c r="I32" i="18"/>
  <c r="I31" i="18"/>
  <c r="I29" i="18"/>
  <c r="I28" i="18"/>
  <c r="I27" i="18"/>
  <c r="I25" i="18"/>
  <c r="I24" i="18"/>
  <c r="I23" i="18"/>
  <c r="I21" i="18"/>
  <c r="I20" i="18"/>
  <c r="I19" i="18"/>
  <c r="J67" i="18"/>
  <c r="J66" i="18"/>
  <c r="J65" i="18"/>
  <c r="BD22" i="18" l="1"/>
  <c r="BF15" i="18"/>
  <c r="BK16" i="18"/>
  <c r="BJ22" i="18"/>
  <c r="AX22" i="18"/>
  <c r="AX16" i="18"/>
  <c r="AF16" i="18"/>
  <c r="P15" i="18"/>
  <c r="H16" i="18"/>
  <c r="AY22" i="18"/>
  <c r="AN15" i="18"/>
  <c r="AR16" i="18"/>
  <c r="AL22" i="18"/>
  <c r="Z16" i="18"/>
  <c r="AH15" i="18"/>
  <c r="AF22" i="18"/>
  <c r="T22" i="18"/>
  <c r="T16" i="18"/>
  <c r="AB15" i="18"/>
  <c r="AT15" i="18"/>
  <c r="J64" i="18"/>
  <c r="I16" i="18" l="1"/>
  <c r="H17" i="18"/>
  <c r="G15" i="18"/>
  <c r="F15" i="18"/>
  <c r="F16" i="18"/>
  <c r="G16" i="18"/>
  <c r="F17" i="18"/>
  <c r="G17" i="18"/>
  <c r="BK18" i="18"/>
  <c r="BJ18" i="18"/>
  <c r="BI18" i="18"/>
  <c r="BH18" i="18"/>
  <c r="BE18" i="18"/>
  <c r="BD18" i="18"/>
  <c r="BC18" i="18"/>
  <c r="BB18" i="18"/>
  <c r="AY18" i="18"/>
  <c r="AX18" i="18"/>
  <c r="AW18" i="18"/>
  <c r="AV18" i="18"/>
  <c r="AS18" i="18"/>
  <c r="AR18" i="18"/>
  <c r="AQ18" i="18"/>
  <c r="AP18" i="18"/>
  <c r="AM18" i="18"/>
  <c r="AL18" i="18"/>
  <c r="AK18" i="18"/>
  <c r="AJ18" i="18"/>
  <c r="AG18" i="18"/>
  <c r="AF18" i="18"/>
  <c r="AE18" i="18"/>
  <c r="AD18" i="18"/>
  <c r="AA18" i="18"/>
  <c r="Z18" i="18"/>
  <c r="Y18" i="18"/>
  <c r="X18" i="18"/>
  <c r="U18" i="18"/>
  <c r="T18" i="18"/>
  <c r="S18" i="18"/>
  <c r="R18" i="18"/>
  <c r="O18" i="18"/>
  <c r="N18" i="18"/>
  <c r="M18" i="18"/>
  <c r="L18" i="18"/>
  <c r="I18" i="18"/>
  <c r="H18" i="18"/>
  <c r="G18" i="18"/>
  <c r="F18" i="18"/>
  <c r="BK17" i="18"/>
  <c r="BJ17" i="18"/>
  <c r="BI17" i="18"/>
  <c r="BH17" i="18"/>
  <c r="BE17" i="18"/>
  <c r="BD17" i="18"/>
  <c r="BC17" i="18"/>
  <c r="BB17" i="18"/>
  <c r="AY17" i="18"/>
  <c r="AX17" i="18"/>
  <c r="AW17" i="18"/>
  <c r="AV17" i="18"/>
  <c r="AS17" i="18"/>
  <c r="AR17" i="18"/>
  <c r="AQ17" i="18"/>
  <c r="AP17" i="18"/>
  <c r="AM17" i="18"/>
  <c r="AL17" i="18"/>
  <c r="AK17" i="18"/>
  <c r="AJ17" i="18"/>
  <c r="AG17" i="18"/>
  <c r="AF17" i="18"/>
  <c r="AE17" i="18"/>
  <c r="AD17" i="18"/>
  <c r="AA17" i="18"/>
  <c r="Z17" i="18"/>
  <c r="Y17" i="18"/>
  <c r="X17" i="18"/>
  <c r="U17" i="18"/>
  <c r="T17" i="18"/>
  <c r="S17" i="18"/>
  <c r="R17" i="18"/>
  <c r="O17" i="18"/>
  <c r="N17" i="18"/>
  <c r="M17" i="18"/>
  <c r="L17" i="18"/>
  <c r="BI16" i="18"/>
  <c r="BH16" i="18"/>
  <c r="BC16" i="18"/>
  <c r="BB16" i="18"/>
  <c r="AW16" i="18"/>
  <c r="AV16" i="18"/>
  <c r="AQ16" i="18"/>
  <c r="AP16" i="18"/>
  <c r="AK16" i="18"/>
  <c r="AJ16" i="18"/>
  <c r="AE16" i="18"/>
  <c r="AD16" i="18"/>
  <c r="Y16" i="18"/>
  <c r="X16" i="18"/>
  <c r="S16" i="18"/>
  <c r="R16" i="18"/>
  <c r="M16" i="18"/>
  <c r="L16" i="18"/>
  <c r="BI15" i="18"/>
  <c r="BH15" i="18"/>
  <c r="BC15" i="18"/>
  <c r="BB15" i="18"/>
  <c r="AW15" i="18"/>
  <c r="AV15" i="18"/>
  <c r="AQ15" i="18"/>
  <c r="AP15" i="18"/>
  <c r="AK15" i="18"/>
  <c r="AJ15" i="18"/>
  <c r="AE15" i="18"/>
  <c r="AD15" i="18"/>
  <c r="Y15" i="18"/>
  <c r="X15" i="18"/>
  <c r="S15" i="18"/>
  <c r="R15" i="18"/>
  <c r="M15" i="18"/>
  <c r="L15" i="18"/>
  <c r="I17" i="18" l="1"/>
  <c r="E278" i="17"/>
  <c r="E238" i="17"/>
  <c r="K19" i="18"/>
  <c r="G132" i="1" l="1"/>
  <c r="E222" i="17" l="1"/>
  <c r="F22" i="18" l="1"/>
  <c r="H42" i="1"/>
  <c r="G42" i="1"/>
  <c r="G24" i="1"/>
  <c r="J39" i="1"/>
  <c r="I39" i="1"/>
  <c r="H39" i="1"/>
  <c r="G39" i="1"/>
  <c r="G46" i="1" s="1"/>
  <c r="E8" i="1"/>
  <c r="Q99" i="1"/>
  <c r="P99" i="1"/>
  <c r="O99" i="1"/>
  <c r="Q97" i="1"/>
  <c r="P97" i="1"/>
  <c r="O97" i="1"/>
  <c r="H43" i="1" l="1"/>
  <c r="M39" i="1"/>
  <c r="K39" i="1"/>
  <c r="G153" i="1"/>
  <c r="G129" i="1" l="1"/>
  <c r="N99" i="1" l="1"/>
  <c r="M99" i="1"/>
  <c r="L99" i="1"/>
  <c r="K99" i="1"/>
  <c r="J99" i="1"/>
  <c r="I99" i="1"/>
  <c r="H99" i="1"/>
  <c r="N97" i="1"/>
  <c r="M97" i="1"/>
  <c r="L97" i="1"/>
  <c r="K97" i="1"/>
  <c r="J97" i="1"/>
  <c r="I97" i="1"/>
  <c r="H97" i="1"/>
  <c r="G99" i="1"/>
  <c r="G97" i="1"/>
  <c r="I44" i="1"/>
  <c r="H44" i="1"/>
  <c r="G44" i="1"/>
  <c r="O42" i="1"/>
  <c r="K42" i="1"/>
  <c r="J42" i="1"/>
  <c r="I42" i="1"/>
  <c r="Q44" i="1"/>
  <c r="Q42" i="1"/>
  <c r="G94" i="1"/>
  <c r="G101" i="1" s="1"/>
  <c r="J98" i="1" l="1"/>
  <c r="I98" i="1"/>
  <c r="L98" i="1"/>
  <c r="H98" i="1"/>
  <c r="L42" i="1"/>
  <c r="M42" i="1"/>
  <c r="P42" i="1"/>
  <c r="K98" i="1"/>
  <c r="K44" i="1"/>
  <c r="L44" i="1"/>
  <c r="M44" i="1"/>
  <c r="N42" i="1"/>
  <c r="N44" i="1"/>
  <c r="J44" i="1"/>
  <c r="O44" i="1"/>
  <c r="P44" i="1"/>
  <c r="G128" i="1"/>
  <c r="E246" i="17"/>
  <c r="G62" i="18"/>
  <c r="E168" i="17"/>
  <c r="E248" i="17"/>
  <c r="E247" i="17"/>
  <c r="E245" i="17"/>
  <c r="E226" i="17"/>
  <c r="E224" i="17"/>
  <c r="E225" i="17"/>
  <c r="E287" i="17" l="1"/>
  <c r="E286" i="17"/>
  <c r="E285" i="17"/>
  <c r="E284" i="17"/>
  <c r="E283" i="17"/>
  <c r="E282" i="17"/>
  <c r="E281" i="17"/>
  <c r="E280" i="17"/>
  <c r="E279" i="17"/>
  <c r="E228" i="17" l="1"/>
  <c r="E213" i="17" l="1"/>
  <c r="E208" i="17"/>
  <c r="E203" i="17"/>
  <c r="E198" i="17"/>
  <c r="E193" i="17"/>
  <c r="E188" i="17"/>
  <c r="E183" i="17"/>
  <c r="E178" i="17"/>
  <c r="E173" i="17"/>
  <c r="E274" i="17" l="1"/>
  <c r="C126" i="17"/>
  <c r="C120" i="17"/>
  <c r="C114" i="17"/>
  <c r="C108" i="17"/>
  <c r="C102" i="17"/>
  <c r="C96" i="17"/>
  <c r="C90" i="17"/>
  <c r="C84" i="17"/>
  <c r="C78" i="17"/>
  <c r="C72" i="17"/>
  <c r="I12" i="1" l="1"/>
  <c r="I87" i="1" l="1"/>
  <c r="H87" i="1" s="1"/>
  <c r="G87" i="1" s="1"/>
  <c r="I50" i="18"/>
  <c r="I52" i="18"/>
  <c r="I53" i="18"/>
  <c r="I54" i="18"/>
  <c r="I56" i="18"/>
  <c r="I57" i="18"/>
  <c r="I58" i="18"/>
  <c r="I60" i="18"/>
  <c r="I61" i="18"/>
  <c r="I62" i="18"/>
  <c r="I49" i="18"/>
  <c r="I48" i="18"/>
  <c r="I46" i="18"/>
  <c r="I45" i="18"/>
  <c r="I44" i="18"/>
  <c r="F46" i="18"/>
  <c r="G46" i="18"/>
  <c r="H46" i="18"/>
  <c r="I38" i="18"/>
  <c r="I34" i="18"/>
  <c r="I30" i="18"/>
  <c r="I26" i="18"/>
  <c r="I22" i="18"/>
  <c r="J87" i="1" l="1"/>
  <c r="K87" i="1" s="1"/>
  <c r="L87" i="1" s="1"/>
  <c r="M87" i="1" s="1"/>
  <c r="N87" i="1" s="1"/>
  <c r="O87" i="1" s="1"/>
  <c r="P87" i="1" s="1"/>
  <c r="Q87" i="1" s="1"/>
  <c r="I47" i="18"/>
  <c r="I55" i="18"/>
  <c r="I66" i="18"/>
  <c r="I51" i="18"/>
  <c r="I63" i="18"/>
  <c r="I59" i="18"/>
  <c r="I67" i="18" l="1"/>
  <c r="E230" i="17" l="1"/>
  <c r="BI38" i="18" l="1"/>
  <c r="BH38" i="18"/>
  <c r="BI34" i="18"/>
  <c r="BH34" i="18"/>
  <c r="BI30" i="18"/>
  <c r="BH30" i="18"/>
  <c r="BI26" i="18"/>
  <c r="BH26" i="18"/>
  <c r="BI22" i="18"/>
  <c r="BH22" i="18"/>
  <c r="BC38" i="18"/>
  <c r="BB38" i="18"/>
  <c r="BC34" i="18"/>
  <c r="BB34" i="18"/>
  <c r="BC30" i="18"/>
  <c r="BB30" i="18"/>
  <c r="BC26" i="18"/>
  <c r="BB26" i="18"/>
  <c r="BC22" i="18"/>
  <c r="BB22" i="18"/>
  <c r="AW38" i="18"/>
  <c r="AV38" i="18"/>
  <c r="AW34" i="18"/>
  <c r="AV34" i="18"/>
  <c r="AW30" i="18"/>
  <c r="AV30" i="18"/>
  <c r="AW26" i="18"/>
  <c r="AV26" i="18"/>
  <c r="AW22" i="18"/>
  <c r="AV22" i="18"/>
  <c r="AQ38" i="18"/>
  <c r="AP38" i="18"/>
  <c r="AQ34" i="18"/>
  <c r="AP34" i="18"/>
  <c r="AQ30" i="18"/>
  <c r="AP30" i="18"/>
  <c r="AQ26" i="18"/>
  <c r="AP26" i="18"/>
  <c r="AQ22" i="18"/>
  <c r="AP22" i="18"/>
  <c r="AK38" i="18"/>
  <c r="AJ38" i="18"/>
  <c r="AK34" i="18"/>
  <c r="AJ34" i="18"/>
  <c r="AK30" i="18"/>
  <c r="AJ30" i="18"/>
  <c r="AK26" i="18"/>
  <c r="AJ26" i="18"/>
  <c r="AK22" i="18"/>
  <c r="AJ22" i="18"/>
  <c r="AE38" i="18"/>
  <c r="AD38" i="18"/>
  <c r="AE34" i="18"/>
  <c r="AD34" i="18"/>
  <c r="AE30" i="18"/>
  <c r="AD30" i="18"/>
  <c r="AE26" i="18"/>
  <c r="AD26" i="18"/>
  <c r="AE22" i="18"/>
  <c r="AD22" i="18"/>
  <c r="Y38" i="18"/>
  <c r="X38" i="18"/>
  <c r="Y34" i="18"/>
  <c r="X34" i="18"/>
  <c r="Y30" i="18"/>
  <c r="X30" i="18"/>
  <c r="Y26" i="18"/>
  <c r="X26" i="18"/>
  <c r="Y22" i="18"/>
  <c r="X22" i="18"/>
  <c r="S38" i="18"/>
  <c r="R38" i="18"/>
  <c r="S34" i="18"/>
  <c r="R34" i="18"/>
  <c r="S30" i="18"/>
  <c r="R30" i="18"/>
  <c r="S26" i="18"/>
  <c r="R26" i="18"/>
  <c r="S22" i="18"/>
  <c r="R22" i="18"/>
  <c r="M38" i="18"/>
  <c r="L38" i="18"/>
  <c r="M34" i="18"/>
  <c r="L34" i="18"/>
  <c r="M30" i="18"/>
  <c r="L30" i="18"/>
  <c r="M26" i="18"/>
  <c r="L26" i="18"/>
  <c r="M22" i="18"/>
  <c r="L22" i="18"/>
  <c r="H62" i="18"/>
  <c r="F62" i="18"/>
  <c r="H61" i="18"/>
  <c r="G61" i="18"/>
  <c r="F61" i="18"/>
  <c r="H58" i="18"/>
  <c r="G58" i="18"/>
  <c r="F58" i="18"/>
  <c r="H57" i="18"/>
  <c r="G57" i="18"/>
  <c r="F57" i="18"/>
  <c r="H54" i="18"/>
  <c r="G54" i="18"/>
  <c r="F54" i="18"/>
  <c r="H53" i="18"/>
  <c r="G53" i="18"/>
  <c r="F53" i="18"/>
  <c r="H50" i="18"/>
  <c r="G50" i="18"/>
  <c r="F50" i="18"/>
  <c r="H49" i="18"/>
  <c r="G49" i="18"/>
  <c r="F49" i="18"/>
  <c r="H45" i="18"/>
  <c r="G45" i="18"/>
  <c r="F45" i="18"/>
  <c r="H38" i="18"/>
  <c r="G38" i="18"/>
  <c r="F38" i="18"/>
  <c r="H34" i="18"/>
  <c r="G34" i="18"/>
  <c r="F34" i="18"/>
  <c r="H30" i="18"/>
  <c r="G30" i="18"/>
  <c r="F30" i="18"/>
  <c r="H26" i="18"/>
  <c r="G26" i="18"/>
  <c r="F26" i="18"/>
  <c r="H22" i="18"/>
  <c r="G22" i="18"/>
  <c r="F65" i="18" l="1"/>
  <c r="D73" i="18"/>
  <c r="D82" i="18"/>
  <c r="D78" i="18"/>
  <c r="G66" i="18"/>
  <c r="D75" i="18"/>
  <c r="D79" i="18"/>
  <c r="D74" i="18"/>
  <c r="D76" i="18"/>
  <c r="D80" i="18"/>
  <c r="D77" i="18"/>
  <c r="D81" i="18"/>
  <c r="G65" i="18"/>
  <c r="F66" i="18"/>
  <c r="H66" i="18"/>
  <c r="F13" i="1" l="1"/>
  <c r="P84" i="1" l="1"/>
  <c r="P83" i="1"/>
  <c r="I32" i="1"/>
  <c r="H12" i="1"/>
  <c r="G12" i="1" s="1"/>
  <c r="J12" i="1"/>
  <c r="K12" i="1" s="1"/>
  <c r="L12" i="1" s="1"/>
  <c r="M12" i="1" s="1"/>
  <c r="N12" i="1" l="1"/>
  <c r="J32" i="1"/>
  <c r="K32" i="1" s="1"/>
  <c r="L32" i="1" s="1"/>
  <c r="M32" i="1" s="1"/>
  <c r="N32" i="1" s="1"/>
  <c r="O32" i="1" s="1"/>
  <c r="P32" i="1" s="1"/>
  <c r="Q32" i="1" s="1"/>
  <c r="H32" i="1"/>
  <c r="G32" i="1" s="1"/>
  <c r="G13" i="1"/>
  <c r="E250" i="17"/>
  <c r="P28" i="1" l="1"/>
  <c r="O12" i="1"/>
  <c r="G138" i="1"/>
  <c r="G137" i="1"/>
  <c r="P12" i="1" l="1"/>
  <c r="H13" i="1"/>
  <c r="Q12" i="1" l="1"/>
  <c r="F145" i="1"/>
  <c r="F146" i="1"/>
  <c r="F144" i="1" l="1"/>
  <c r="E1" i="1"/>
  <c r="A222" i="17" l="1"/>
  <c r="A223" i="17" l="1"/>
  <c r="B223" i="17" s="1"/>
  <c r="E239" i="17"/>
  <c r="E233" i="17"/>
  <c r="A224" i="17" l="1"/>
  <c r="A225" i="17" l="1"/>
  <c r="B225" i="17" s="1"/>
  <c r="B224" i="17"/>
  <c r="E229" i="17"/>
  <c r="E231" i="17"/>
  <c r="E232" i="17"/>
  <c r="E234" i="17"/>
  <c r="E235" i="17"/>
  <c r="E236" i="17"/>
  <c r="E237" i="17"/>
  <c r="E240" i="17"/>
  <c r="E241" i="17"/>
  <c r="E242" i="17"/>
  <c r="E243" i="17"/>
  <c r="E244" i="17"/>
  <c r="E251" i="17"/>
  <c r="E252" i="17"/>
  <c r="E253" i="17"/>
  <c r="E254" i="17"/>
  <c r="E255" i="17"/>
  <c r="E256" i="17"/>
  <c r="E257" i="17"/>
  <c r="E258" i="17"/>
  <c r="E259" i="17"/>
  <c r="E260" i="17"/>
  <c r="E261" i="17"/>
  <c r="E262" i="17"/>
  <c r="E263" i="17"/>
  <c r="E264" i="17"/>
  <c r="E265" i="17"/>
  <c r="E266" i="17"/>
  <c r="E267" i="17"/>
  <c r="E268" i="17"/>
  <c r="E269" i="17"/>
  <c r="E270" i="17"/>
  <c r="E271" i="17"/>
  <c r="E272" i="17"/>
  <c r="E273" i="17"/>
  <c r="E275" i="17"/>
  <c r="E276" i="17"/>
  <c r="A226" i="17" l="1"/>
  <c r="B226" i="17" s="1"/>
  <c r="D4" i="17"/>
  <c r="A227" i="17" l="1"/>
  <c r="A228" i="17"/>
  <c r="BM37" i="18"/>
  <c r="BM36" i="18"/>
  <c r="BM35" i="18"/>
  <c r="BM33" i="18"/>
  <c r="BM32" i="18"/>
  <c r="BM31" i="18"/>
  <c r="BM29" i="18"/>
  <c r="BM28" i="18"/>
  <c r="BM27" i="18"/>
  <c r="BM25" i="18"/>
  <c r="BM24" i="18"/>
  <c r="BM23" i="18"/>
  <c r="BM21" i="18"/>
  <c r="BM20" i="18"/>
  <c r="BM19" i="18"/>
  <c r="BG37" i="18"/>
  <c r="BG36" i="18"/>
  <c r="BG35" i="18"/>
  <c r="BG33" i="18"/>
  <c r="BG32" i="18"/>
  <c r="BG31" i="18"/>
  <c r="BG29" i="18"/>
  <c r="BG28" i="18"/>
  <c r="BG27" i="18"/>
  <c r="BG25" i="18"/>
  <c r="BG24" i="18"/>
  <c r="BG23" i="18"/>
  <c r="BG21" i="18"/>
  <c r="BG20" i="18"/>
  <c r="BG19" i="18"/>
  <c r="BA37" i="18"/>
  <c r="BA36" i="18"/>
  <c r="BA35" i="18"/>
  <c r="BA33" i="18"/>
  <c r="BA32" i="18"/>
  <c r="BA31" i="18"/>
  <c r="BA29" i="18"/>
  <c r="BA28" i="18"/>
  <c r="BA27" i="18"/>
  <c r="BA25" i="18"/>
  <c r="BA24" i="18"/>
  <c r="BA23" i="18"/>
  <c r="BA21" i="18"/>
  <c r="BA20" i="18"/>
  <c r="BA19" i="18"/>
  <c r="AU37" i="18"/>
  <c r="AU36" i="18"/>
  <c r="AU35" i="18"/>
  <c r="AU33" i="18"/>
  <c r="AU32" i="18"/>
  <c r="AU31" i="18"/>
  <c r="AU29" i="18"/>
  <c r="AU28" i="18"/>
  <c r="AU27" i="18"/>
  <c r="AU25" i="18"/>
  <c r="AU24" i="18"/>
  <c r="AU23" i="18"/>
  <c r="AU21" i="18"/>
  <c r="AU20" i="18"/>
  <c r="AU19" i="18"/>
  <c r="AO37" i="18"/>
  <c r="AO36" i="18"/>
  <c r="AO35" i="18"/>
  <c r="AO33" i="18"/>
  <c r="AO32" i="18"/>
  <c r="AO31" i="18"/>
  <c r="AO29" i="18"/>
  <c r="AO28" i="18"/>
  <c r="AO27" i="18"/>
  <c r="AO25" i="18"/>
  <c r="AO24" i="18"/>
  <c r="AO23" i="18"/>
  <c r="AO21" i="18"/>
  <c r="AO20" i="18"/>
  <c r="AO19" i="18"/>
  <c r="AI37" i="18"/>
  <c r="AI36" i="18"/>
  <c r="AI35" i="18"/>
  <c r="AI33" i="18"/>
  <c r="AI32" i="18"/>
  <c r="AI31" i="18"/>
  <c r="AI29" i="18"/>
  <c r="AI28" i="18"/>
  <c r="AI27" i="18"/>
  <c r="AI25" i="18"/>
  <c r="AI24" i="18"/>
  <c r="AI23" i="18"/>
  <c r="AI21" i="18"/>
  <c r="AI20" i="18"/>
  <c r="AI19" i="18"/>
  <c r="AC37" i="18"/>
  <c r="AC36" i="18"/>
  <c r="AC35" i="18"/>
  <c r="AC33" i="18"/>
  <c r="AC32" i="18"/>
  <c r="AC31" i="18"/>
  <c r="AC29" i="18"/>
  <c r="AC28" i="18"/>
  <c r="AC27" i="18"/>
  <c r="AC25" i="18"/>
  <c r="AC24" i="18"/>
  <c r="AC23" i="18"/>
  <c r="AC21" i="18"/>
  <c r="AC20" i="18"/>
  <c r="AC19" i="18"/>
  <c r="W37" i="18"/>
  <c r="W36" i="18"/>
  <c r="W35" i="18"/>
  <c r="W33" i="18"/>
  <c r="W32" i="18"/>
  <c r="W31" i="18"/>
  <c r="W29" i="18"/>
  <c r="W28" i="18"/>
  <c r="W27" i="18"/>
  <c r="W25" i="18"/>
  <c r="W24" i="18"/>
  <c r="W23" i="18"/>
  <c r="W21" i="18"/>
  <c r="W20" i="18"/>
  <c r="W19" i="18"/>
  <c r="Q19" i="18"/>
  <c r="Q37" i="18"/>
  <c r="Q36" i="18"/>
  <c r="Q35" i="18"/>
  <c r="Q33" i="18"/>
  <c r="Q32" i="18"/>
  <c r="Q31" i="18"/>
  <c r="Q29" i="18"/>
  <c r="Q28" i="18"/>
  <c r="Q27" i="18"/>
  <c r="Q25" i="18"/>
  <c r="Q24" i="18"/>
  <c r="Q23" i="18"/>
  <c r="Q21" i="18"/>
  <c r="Q20" i="18"/>
  <c r="K37" i="18"/>
  <c r="K21" i="18"/>
  <c r="K36" i="18"/>
  <c r="K35" i="18"/>
  <c r="K33" i="18"/>
  <c r="K32" i="18"/>
  <c r="K31" i="18"/>
  <c r="K29" i="18"/>
  <c r="K28" i="18"/>
  <c r="K27" i="18"/>
  <c r="K25" i="18"/>
  <c r="K24" i="18"/>
  <c r="K23" i="18"/>
  <c r="K20" i="18"/>
  <c r="D87" i="18" l="1"/>
  <c r="D94" i="18"/>
  <c r="A229" i="17"/>
  <c r="B229" i="17" s="1"/>
  <c r="D90" i="18"/>
  <c r="D89" i="18"/>
  <c r="D95" i="18"/>
  <c r="D93" i="18"/>
  <c r="D92" i="18"/>
  <c r="D91" i="18"/>
  <c r="D88" i="18"/>
  <c r="D96" i="18"/>
  <c r="B228" i="17"/>
  <c r="B222" i="17"/>
  <c r="F147" i="1" l="1"/>
  <c r="A230" i="17"/>
  <c r="B230" i="17" s="1"/>
  <c r="B227" i="17"/>
  <c r="A231" i="17" l="1"/>
  <c r="A232" i="17" l="1"/>
  <c r="B231" i="17"/>
  <c r="A233" i="17" l="1"/>
  <c r="A234" i="17" s="1"/>
  <c r="B232" i="17"/>
  <c r="A235" i="17" l="1"/>
  <c r="B233" i="17"/>
  <c r="A236" i="17" l="1"/>
  <c r="B235" i="17"/>
  <c r="B234" i="17"/>
  <c r="B236" i="17" l="1"/>
  <c r="A237" i="17"/>
  <c r="A238" i="17" s="1"/>
  <c r="B237" i="17" l="1"/>
  <c r="A239" i="17"/>
  <c r="A240" i="17"/>
  <c r="A241" i="17" s="1"/>
  <c r="B241" i="17" s="1"/>
  <c r="B238" i="17"/>
  <c r="A242" i="17" l="1"/>
  <c r="B239" i="17"/>
  <c r="B242" i="17" l="1"/>
  <c r="A243" i="17"/>
  <c r="B240" i="17"/>
  <c r="A244" i="17" l="1"/>
  <c r="B244" i="17" s="1"/>
  <c r="A245" i="17"/>
  <c r="B245" i="17" s="1"/>
  <c r="A246" i="17"/>
  <c r="B246" i="17" s="1"/>
  <c r="B243" i="17"/>
  <c r="A247" i="17" l="1"/>
  <c r="A248" i="17" l="1"/>
  <c r="B248" i="17" s="1"/>
  <c r="B247" i="17"/>
  <c r="A250" i="17" l="1"/>
  <c r="B250" i="17" s="1"/>
  <c r="A251" i="17" l="1"/>
  <c r="B251" i="17" s="1"/>
  <c r="A252" i="17" l="1"/>
  <c r="B252" i="17" s="1"/>
  <c r="A253" i="17"/>
  <c r="B253" i="17" s="1"/>
  <c r="A254" i="17" l="1"/>
  <c r="B254" i="17" s="1"/>
  <c r="E7" i="1"/>
  <c r="J55" i="18"/>
  <c r="J63" i="18"/>
  <c r="J62" i="18"/>
  <c r="J61" i="18"/>
  <c r="J60" i="18"/>
  <c r="J59" i="18"/>
  <c r="J58" i="18"/>
  <c r="J57" i="18"/>
  <c r="J56" i="18"/>
  <c r="J54" i="18"/>
  <c r="J53" i="18"/>
  <c r="J52" i="18"/>
  <c r="J51" i="18"/>
  <c r="J50" i="18"/>
  <c r="J49" i="18"/>
  <c r="J48" i="18"/>
  <c r="J47" i="18"/>
  <c r="J46" i="18"/>
  <c r="J45" i="18"/>
  <c r="BH13" i="18"/>
  <c r="BB13" i="18"/>
  <c r="AV13" i="18"/>
  <c r="AP13" i="18"/>
  <c r="AJ13" i="18"/>
  <c r="AD13" i="18"/>
  <c r="X13" i="18"/>
  <c r="R13" i="18"/>
  <c r="L13" i="18"/>
  <c r="F13" i="18"/>
  <c r="F42" i="18" s="1"/>
  <c r="C36" i="17"/>
  <c r="C35" i="17"/>
  <c r="C32" i="17"/>
  <c r="C31" i="17"/>
  <c r="C30" i="17"/>
  <c r="C29" i="17"/>
  <c r="C68" i="17"/>
  <c r="C67" i="17"/>
  <c r="C65" i="17"/>
  <c r="C64" i="17"/>
  <c r="C62" i="17"/>
  <c r="C61" i="17"/>
  <c r="C59" i="17"/>
  <c r="C58" i="17"/>
  <c r="C56" i="17"/>
  <c r="C55" i="17"/>
  <c r="C53" i="17"/>
  <c r="C52" i="17"/>
  <c r="C50" i="17"/>
  <c r="C49" i="17"/>
  <c r="C47" i="17"/>
  <c r="C46" i="17"/>
  <c r="C44" i="17"/>
  <c r="C43" i="17"/>
  <c r="A255" i="17" l="1"/>
  <c r="B255" i="17" s="1"/>
  <c r="Q159" i="1"/>
  <c r="Q155" i="1"/>
  <c r="Q157" i="1"/>
  <c r="Q153" i="1"/>
  <c r="A256" i="17" l="1"/>
  <c r="Q94" i="1"/>
  <c r="Q39" i="1"/>
  <c r="B256" i="17" l="1"/>
  <c r="A257" i="17"/>
  <c r="Q46" i="1"/>
  <c r="Q101" i="1"/>
  <c r="K159" i="1"/>
  <c r="G159" i="1"/>
  <c r="P159" i="1"/>
  <c r="O159" i="1"/>
  <c r="N159" i="1"/>
  <c r="M159" i="1"/>
  <c r="L159" i="1"/>
  <c r="J159" i="1"/>
  <c r="I159" i="1"/>
  <c r="H159" i="1"/>
  <c r="P155" i="1"/>
  <c r="O155" i="1"/>
  <c r="N155" i="1"/>
  <c r="M155" i="1"/>
  <c r="L155" i="1"/>
  <c r="K155" i="1"/>
  <c r="J155" i="1"/>
  <c r="I155" i="1"/>
  <c r="G155" i="1"/>
  <c r="H155" i="1"/>
  <c r="P157" i="1"/>
  <c r="M157" i="1"/>
  <c r="J157" i="1"/>
  <c r="H157" i="1"/>
  <c r="P153" i="1"/>
  <c r="A258" i="17" l="1"/>
  <c r="B257" i="17"/>
  <c r="A259" i="17"/>
  <c r="B259" i="17" s="1"/>
  <c r="F154" i="1"/>
  <c r="F158" i="1"/>
  <c r="I94" i="1"/>
  <c r="G157" i="1"/>
  <c r="K157" i="1"/>
  <c r="K153" i="1"/>
  <c r="J153" i="1"/>
  <c r="M153" i="1"/>
  <c r="N153" i="1"/>
  <c r="H153" i="1"/>
  <c r="L157" i="1"/>
  <c r="O153" i="1"/>
  <c r="O157" i="1"/>
  <c r="I157" i="1"/>
  <c r="L153" i="1"/>
  <c r="I153" i="1"/>
  <c r="N157" i="1"/>
  <c r="H94" i="1"/>
  <c r="H101" i="1" s="1"/>
  <c r="B258" i="17" l="1"/>
  <c r="A260" i="17"/>
  <c r="F156" i="1"/>
  <c r="F152" i="1"/>
  <c r="A261" i="17" l="1"/>
  <c r="B260" i="17"/>
  <c r="B261" i="17" l="1"/>
  <c r="A262" i="17"/>
  <c r="A263" i="17" l="1"/>
  <c r="B263" i="17" s="1"/>
  <c r="B262" i="17"/>
  <c r="A264" i="17"/>
  <c r="B264" i="17" s="1"/>
  <c r="A265" i="17" l="1"/>
  <c r="B265" i="17" s="1"/>
  <c r="J94" i="1"/>
  <c r="M94" i="1"/>
  <c r="M101" i="1" s="1"/>
  <c r="K94" i="1"/>
  <c r="L94" i="1"/>
  <c r="N94" i="1"/>
  <c r="Q100" i="1"/>
  <c r="P94" i="1"/>
  <c r="O94" i="1"/>
  <c r="H100" i="1"/>
  <c r="A266" i="17" l="1"/>
  <c r="K101" i="1"/>
  <c r="A267" i="17"/>
  <c r="B266" i="17"/>
  <c r="J101" i="1"/>
  <c r="L101" i="1"/>
  <c r="I101" i="1"/>
  <c r="N101" i="1"/>
  <c r="P101" i="1"/>
  <c r="O101" i="1"/>
  <c r="A268" i="17" l="1"/>
  <c r="B267" i="17"/>
  <c r="J43" i="1" l="1"/>
  <c r="A269" i="17"/>
  <c r="B268" i="17"/>
  <c r="J45" i="1"/>
  <c r="H46" i="1"/>
  <c r="A270" i="17" l="1"/>
  <c r="B269" i="17"/>
  <c r="Q45" i="1"/>
  <c r="P39" i="1"/>
  <c r="O39" i="1"/>
  <c r="N39" i="1"/>
  <c r="L39" i="1"/>
  <c r="I45" i="1" l="1"/>
  <c r="H45" i="1"/>
  <c r="A271" i="17"/>
  <c r="B270" i="17"/>
  <c r="J46" i="1"/>
  <c r="K46" i="1"/>
  <c r="P46" i="1"/>
  <c r="N46" i="1"/>
  <c r="O46" i="1"/>
  <c r="I46" i="1"/>
  <c r="L46" i="1"/>
  <c r="M46" i="1"/>
  <c r="A272" i="17" l="1"/>
  <c r="B271" i="17"/>
  <c r="A273" i="17" l="1"/>
  <c r="B272" i="17"/>
  <c r="H60" i="18"/>
  <c r="G60" i="18"/>
  <c r="F60" i="18"/>
  <c r="H56" i="18"/>
  <c r="G56" i="18"/>
  <c r="F56" i="18"/>
  <c r="H52" i="18"/>
  <c r="G52" i="18"/>
  <c r="F52" i="18"/>
  <c r="H48" i="18"/>
  <c r="G48" i="18"/>
  <c r="F48" i="18"/>
  <c r="H44" i="18"/>
  <c r="G44" i="18"/>
  <c r="F44" i="18"/>
  <c r="B15" i="1"/>
  <c r="A274" i="17" l="1"/>
  <c r="B273" i="17"/>
  <c r="B31" i="1"/>
  <c r="I13" i="1"/>
  <c r="J13" i="1"/>
  <c r="F64" i="18"/>
  <c r="F67" i="18" s="1"/>
  <c r="H63" i="18"/>
  <c r="G47" i="18"/>
  <c r="F51" i="18"/>
  <c r="G51" i="18"/>
  <c r="F55" i="18"/>
  <c r="H51" i="18"/>
  <c r="G64" i="18"/>
  <c r="F59" i="18"/>
  <c r="H55" i="18"/>
  <c r="G59" i="18"/>
  <c r="F63" i="18"/>
  <c r="H59" i="18"/>
  <c r="G63" i="18"/>
  <c r="H47" i="18"/>
  <c r="F47" i="18"/>
  <c r="G55" i="18"/>
  <c r="D16" i="1"/>
  <c r="D17" i="1" s="1"/>
  <c r="G67" i="18" l="1"/>
  <c r="G127" i="1"/>
  <c r="G136" i="1"/>
  <c r="G68" i="18"/>
  <c r="G130" i="1" s="1"/>
  <c r="B48" i="1"/>
  <c r="A275" i="17"/>
  <c r="B274" i="17"/>
  <c r="D83" i="18"/>
  <c r="G131" i="1" s="1"/>
  <c r="K13" i="1"/>
  <c r="H67" i="18"/>
  <c r="D33" i="1"/>
  <c r="G126" i="1" l="1"/>
  <c r="D49" i="1"/>
  <c r="D50" i="1" s="1"/>
  <c r="B54" i="1"/>
  <c r="B275" i="17"/>
  <c r="A276" i="17"/>
  <c r="D34" i="1"/>
  <c r="D18" i="1"/>
  <c r="B276" i="17" l="1"/>
  <c r="A278" i="17"/>
  <c r="B62" i="1"/>
  <c r="D55" i="1"/>
  <c r="D51" i="1"/>
  <c r="D52" i="1" s="1"/>
  <c r="L13" i="1"/>
  <c r="D19" i="1"/>
  <c r="D20" i="1" s="1"/>
  <c r="D35" i="1"/>
  <c r="D36" i="1" s="1"/>
  <c r="D37" i="1" s="1"/>
  <c r="D65" i="1" l="1"/>
  <c r="D66" i="1" s="1"/>
  <c r="B83" i="1"/>
  <c r="D88" i="1" s="1"/>
  <c r="B278" i="17"/>
  <c r="A279" i="17"/>
  <c r="D56" i="1"/>
  <c r="M13" i="1"/>
  <c r="D21" i="1"/>
  <c r="D22" i="1" s="1"/>
  <c r="D23" i="1" s="1"/>
  <c r="D24" i="1" s="1"/>
  <c r="D38" i="1"/>
  <c r="D39" i="1" s="1"/>
  <c r="N13" i="1"/>
  <c r="B104" i="1" l="1"/>
  <c r="D67" i="1"/>
  <c r="D68" i="1" s="1"/>
  <c r="D69" i="1" s="1"/>
  <c r="D70" i="1" s="1"/>
  <c r="D76" i="1" s="1"/>
  <c r="D77" i="1" s="1"/>
  <c r="D78" i="1" s="1"/>
  <c r="D79" i="1" s="1"/>
  <c r="B279" i="17"/>
  <c r="A280" i="17"/>
  <c r="D57" i="1"/>
  <c r="D58" i="1" s="1"/>
  <c r="D59" i="1" s="1"/>
  <c r="D60" i="1" s="1"/>
  <c r="D25" i="1"/>
  <c r="D89" i="1"/>
  <c r="D40" i="1"/>
  <c r="D41" i="1" s="1"/>
  <c r="O13" i="1"/>
  <c r="D105" i="1" l="1"/>
  <c r="D106" i="1" s="1"/>
  <c r="B280" i="17"/>
  <c r="A281" i="17"/>
  <c r="D90" i="1"/>
  <c r="D91" i="1" s="1"/>
  <c r="D92" i="1" s="1"/>
  <c r="D93" i="1" s="1"/>
  <c r="D42" i="1"/>
  <c r="D43" i="1" s="1"/>
  <c r="D44" i="1" s="1"/>
  <c r="D45" i="1" s="1"/>
  <c r="D46" i="1" s="1"/>
  <c r="D107" i="1" l="1"/>
  <c r="D108" i="1" s="1"/>
  <c r="D109" i="1" s="1"/>
  <c r="B281" i="17"/>
  <c r="A282" i="17"/>
  <c r="P13" i="1"/>
  <c r="D94" i="1"/>
  <c r="D95" i="1" s="1"/>
  <c r="D96" i="1" s="1"/>
  <c r="D97" i="1" s="1"/>
  <c r="D98" i="1" s="1"/>
  <c r="D99" i="1" s="1"/>
  <c r="D100" i="1" s="1"/>
  <c r="D101" i="1" s="1"/>
  <c r="D102" i="1" s="1"/>
  <c r="I100" i="1"/>
  <c r="H24" i="1"/>
  <c r="I24" i="1"/>
  <c r="D110" i="1" l="1"/>
  <c r="B282" i="17"/>
  <c r="A283" i="17"/>
  <c r="Q13" i="1"/>
  <c r="B283" i="17" l="1"/>
  <c r="A284" i="17"/>
  <c r="P100" i="1"/>
  <c r="O100" i="1"/>
  <c r="N100" i="1"/>
  <c r="M100" i="1"/>
  <c r="L100" i="1"/>
  <c r="K100" i="1"/>
  <c r="J100" i="1"/>
  <c r="Q98" i="1"/>
  <c r="P45" i="1"/>
  <c r="O45" i="1"/>
  <c r="N45" i="1"/>
  <c r="M45" i="1"/>
  <c r="L45" i="1"/>
  <c r="K45" i="1"/>
  <c r="K43" i="1"/>
  <c r="M43" i="1" l="1"/>
  <c r="L43" i="1"/>
  <c r="P43" i="1"/>
  <c r="Q43" i="1"/>
  <c r="N43" i="1"/>
  <c r="O43" i="1"/>
  <c r="B284" i="17"/>
  <c r="A285" i="17"/>
  <c r="I43" i="1"/>
  <c r="N98" i="1"/>
  <c r="P98" i="1"/>
  <c r="O98" i="1"/>
  <c r="M98" i="1"/>
  <c r="B285" i="17" l="1"/>
  <c r="A286" i="17"/>
  <c r="B286" i="17" l="1"/>
  <c r="A287" i="17"/>
  <c r="B287" i="17" l="1"/>
  <c r="A288" i="17"/>
  <c r="A289" i="17" s="1"/>
  <c r="G133" i="1"/>
  <c r="G134" i="1"/>
  <c r="G135" i="1" l="1"/>
  <c r="C5" i="1" s="1"/>
</calcChain>
</file>

<file path=xl/sharedStrings.xml><?xml version="1.0" encoding="utf-8"?>
<sst xmlns="http://schemas.openxmlformats.org/spreadsheetml/2006/main" count="3387" uniqueCount="1081">
  <si>
    <t>ver. 1.01</t>
    <phoneticPr fontId="1"/>
  </si>
  <si>
    <t>■申請者情報</t>
    <rPh sb="1" eb="4">
      <t>シンセイシャ</t>
    </rPh>
    <rPh sb="4" eb="6">
      <t>ジョウホウ</t>
    </rPh>
    <phoneticPr fontId="1"/>
  </si>
  <si>
    <t>事業名</t>
    <rPh sb="0" eb="2">
      <t>ジギョウ</t>
    </rPh>
    <rPh sb="2" eb="3">
      <t>メイ</t>
    </rPh>
    <phoneticPr fontId="1"/>
  </si>
  <si>
    <t>様式1_成長投資計画書の表紙に記載の事業名を入力</t>
    <rPh sb="12" eb="14">
      <t>ヒョウシ</t>
    </rPh>
    <rPh sb="15" eb="17">
      <t>キサイ</t>
    </rPh>
    <rPh sb="18" eb="21">
      <t>ジギョウメイ</t>
    </rPh>
    <rPh sb="22" eb="24">
      <t>ニュウリョク</t>
    </rPh>
    <phoneticPr fontId="1"/>
  </si>
  <si>
    <t>1次・2次公募の採択</t>
    <rPh sb="1" eb="2">
      <t>ジ</t>
    </rPh>
    <rPh sb="4" eb="7">
      <t>ジコウボ</t>
    </rPh>
    <rPh sb="8" eb="10">
      <t>サイタク</t>
    </rPh>
    <phoneticPr fontId="1"/>
  </si>
  <si>
    <t>入力必須、リストから選択（該当(みなし同一法人あり)・該当(みなし同一法人なし・)非該当）
※コンソーシアムによる共同申請の場合には、1社以上の採択がある場合に『該当』を選択
※みなし同一法人が採択された場合も記載</t>
    <rPh sb="0" eb="4">
      <t>ニュウリョクヒッス</t>
    </rPh>
    <rPh sb="10" eb="12">
      <t>センタク</t>
    </rPh>
    <rPh sb="13" eb="15">
      <t>ガイトウ</t>
    </rPh>
    <rPh sb="19" eb="23">
      <t>ドウイツホウジン</t>
    </rPh>
    <rPh sb="27" eb="29">
      <t>ガイトウ</t>
    </rPh>
    <rPh sb="33" eb="37">
      <t>ドウイツホウジン</t>
    </rPh>
    <rPh sb="41" eb="44">
      <t>ヒガイトウ</t>
    </rPh>
    <rPh sb="57" eb="61">
      <t>キョウドウシンセイ</t>
    </rPh>
    <rPh sb="62" eb="64">
      <t>バアイ</t>
    </rPh>
    <rPh sb="68" eb="71">
      <t>シャイジョウ</t>
    </rPh>
    <rPh sb="72" eb="74">
      <t>サイタク</t>
    </rPh>
    <rPh sb="77" eb="79">
      <t>バアイ</t>
    </rPh>
    <rPh sb="81" eb="83">
      <t>ガイトウ</t>
    </rPh>
    <rPh sb="85" eb="87">
      <t>センタク</t>
    </rPh>
    <rPh sb="92" eb="94">
      <t>ドウイツ</t>
    </rPh>
    <rPh sb="94" eb="96">
      <t>ホウジン</t>
    </rPh>
    <rPh sb="97" eb="99">
      <t>サイタク</t>
    </rPh>
    <rPh sb="102" eb="104">
      <t>バアイ</t>
    </rPh>
    <rPh sb="105" eb="107">
      <t>キサイ</t>
    </rPh>
    <phoneticPr fontId="1"/>
  </si>
  <si>
    <t>補助率</t>
    <rPh sb="0" eb="3">
      <t>ホジョリツ</t>
    </rPh>
    <phoneticPr fontId="1"/>
  </si>
  <si>
    <t>入力必須、リストから選択（1/4補助率を許容する・1/4補助率を許容しない）</t>
    <rPh sb="10" eb="12">
      <t>センタク</t>
    </rPh>
    <rPh sb="16" eb="18">
      <t>ホジョ</t>
    </rPh>
    <rPh sb="18" eb="19">
      <t>リツ</t>
    </rPh>
    <rPh sb="20" eb="22">
      <t>キョヨウ</t>
    </rPh>
    <rPh sb="28" eb="31">
      <t>ホジョリツ</t>
    </rPh>
    <rPh sb="32" eb="34">
      <t>キョヨウ</t>
    </rPh>
    <phoneticPr fontId="1"/>
  </si>
  <si>
    <r>
      <rPr>
        <sz val="12"/>
        <rFont val="游ゴシック"/>
        <family val="3"/>
        <charset val="128"/>
        <scheme val="minor"/>
      </rPr>
      <t xml:space="preserve">申請書の中で補助率1/4を適用した事業採択も許容された事業者については、本来の採択基準に満たない場合においても追加的な採択を行う可能性があります（ただし、補助率が1/4となった場合でも、提出された賃上げに係る目標数値を達成することが要件となります。）。 </t>
    </r>
    <r>
      <rPr>
        <b/>
        <sz val="12"/>
        <rFont val="游ゴシック"/>
        <family val="3"/>
        <charset val="128"/>
        <scheme val="minor"/>
      </rPr>
      <t xml:space="preserve">
</t>
    </r>
    <r>
      <rPr>
        <u/>
        <sz val="12"/>
        <rFont val="游ゴシック"/>
        <family val="3"/>
        <charset val="128"/>
        <scheme val="minor"/>
      </rPr>
      <t>『1/4補助率を許容する』を選択した場合、補助率が1/4で採択される可能性がございます。
『1/4補助率を許容しない』を選択した場合、1/3補助率のみでの採択となります。</t>
    </r>
    <r>
      <rPr>
        <b/>
        <sz val="12"/>
        <rFont val="游ゴシック"/>
        <family val="3"/>
        <charset val="128"/>
        <scheme val="minor"/>
      </rPr>
      <t>（追加的な採択を受けない）</t>
    </r>
    <rPh sb="172" eb="175">
      <t>ホジョリツ</t>
    </rPh>
    <rPh sb="176" eb="178">
      <t>キョヨウ</t>
    </rPh>
    <rPh sb="182" eb="184">
      <t>センタク</t>
    </rPh>
    <rPh sb="186" eb="188">
      <t>バアイ</t>
    </rPh>
    <rPh sb="189" eb="192">
      <t>ホジョリツ</t>
    </rPh>
    <rPh sb="197" eb="199">
      <t>サイタク</t>
    </rPh>
    <rPh sb="202" eb="205">
      <t>カノウセイ</t>
    </rPh>
    <rPh sb="214" eb="216">
      <t>ツイカ</t>
    </rPh>
    <rPh sb="217" eb="220">
      <t>ホジョリツ</t>
    </rPh>
    <rPh sb="221" eb="223">
      <t>キョヨウセンタクバアイホジョリツサイタクユウセンテキサイタクウ</t>
    </rPh>
    <phoneticPr fontId="1"/>
  </si>
  <si>
    <t>中小企業から中堅企業への移行の宣誓</t>
    <phoneticPr fontId="1"/>
  </si>
  <si>
    <t>入力必須、リストから選択（該当・非該当）
※コンソーシアムによる共同申請の場合には、1者以上の宣誓がある場合に『該当』を選択</t>
    <rPh sb="10" eb="12">
      <t>センタク</t>
    </rPh>
    <rPh sb="13" eb="15">
      <t>ガイトウ</t>
    </rPh>
    <rPh sb="16" eb="19">
      <t>ヒガイトウ</t>
    </rPh>
    <rPh sb="32" eb="42">
      <t>キョウドウシンセイ</t>
    </rPh>
    <rPh sb="43" eb="46">
      <t>シャイジョウ</t>
    </rPh>
    <rPh sb="47" eb="49">
      <t>センセイ</t>
    </rPh>
    <rPh sb="52" eb="54">
      <t>バアイ</t>
    </rPh>
    <rPh sb="56" eb="58">
      <t>ガイトウ</t>
    </rPh>
    <rPh sb="60" eb="62">
      <t>センタク</t>
    </rPh>
    <phoneticPr fontId="1"/>
  </si>
  <si>
    <t>会社又は個人の事業者について、企業規模の面でより高い成果目標を設定し、達成できる企業に対して加点します。
『宣言する』を選択した場合、以下いずれもの要件を満たす必要があり、目標を設定したが達成できなかった場合には、企業名を公表する可能性があります。
i. 中小企業から中堅企業への移行に関する宣誓書（様式7）に「令和9年12月末までに、産業競争力強化法上の中小企業者の定義を超える従業員数及び資本金の達成」をする旨を明記。（コンソーシアム形式の場合、参加する事業者のうち少なくとも１者による目標の設定および達成で可）。
ii. 本事業の公募開始日から直近1年間以内に、減資および従業員の減少なし。
iii. 本事業の公募開始日時点で、産業競争力強化法上の中堅企業者（常時使用する従業員の数が2,000人以下の会社及び個人であり、中小企業者でない）でないこと。</t>
    <rPh sb="54" eb="56">
      <t>センゲン</t>
    </rPh>
    <rPh sb="60" eb="62">
      <t>センタク</t>
    </rPh>
    <rPh sb="64" eb="66">
      <t>バアイ</t>
    </rPh>
    <rPh sb="115" eb="118">
      <t>カノウセイ</t>
    </rPh>
    <rPh sb="128" eb="132">
      <t>チュウショウキギョウ</t>
    </rPh>
    <rPh sb="134" eb="138">
      <t>チュウケンキギョウ</t>
    </rPh>
    <rPh sb="140" eb="142">
      <t>イコウ</t>
    </rPh>
    <rPh sb="143" eb="144">
      <t>カン</t>
    </rPh>
    <rPh sb="146" eb="149">
      <t>センセイショ</t>
    </rPh>
    <rPh sb="150" eb="152">
      <t>ヨウシキ</t>
    </rPh>
    <rPh sb="156" eb="158">
      <t>レイワ</t>
    </rPh>
    <rPh sb="159" eb="160">
      <t>ネン</t>
    </rPh>
    <rPh sb="162" eb="164">
      <t>ガツマツ</t>
    </rPh>
    <rPh sb="168" eb="173">
      <t>サンギョウキョウソウリョク</t>
    </rPh>
    <rPh sb="173" eb="177">
      <t>キョウカホウジョウ</t>
    </rPh>
    <rPh sb="178" eb="183">
      <t>チュウショウキギョウシャ</t>
    </rPh>
    <rPh sb="184" eb="186">
      <t>テイギ</t>
    </rPh>
    <rPh sb="187" eb="188">
      <t>コ</t>
    </rPh>
    <rPh sb="190" eb="194">
      <t>ジュウギョウインスウ</t>
    </rPh>
    <rPh sb="194" eb="195">
      <t>オヨ</t>
    </rPh>
    <rPh sb="196" eb="199">
      <t>シホンキン</t>
    </rPh>
    <rPh sb="200" eb="202">
      <t>タッセイ</t>
    </rPh>
    <rPh sb="206" eb="207">
      <t>ムネ</t>
    </rPh>
    <rPh sb="208" eb="210">
      <t>メイキ</t>
    </rPh>
    <phoneticPr fontId="1"/>
  </si>
  <si>
    <t>補助金の併願の有無</t>
    <rPh sb="0" eb="3">
      <t>ホジョキン</t>
    </rPh>
    <rPh sb="4" eb="6">
      <t>ヘイガン</t>
    </rPh>
    <rPh sb="7" eb="9">
      <t>ウム</t>
    </rPh>
    <phoneticPr fontId="1"/>
  </si>
  <si>
    <t>入力必須、リストから選択（該当・非該当）
併願済み、併願する可能性のある場合は『該当』を選択</t>
    <rPh sb="10" eb="12">
      <t>センタク</t>
    </rPh>
    <rPh sb="13" eb="15">
      <t>ガイトウ</t>
    </rPh>
    <rPh sb="16" eb="19">
      <t>ヒガイトウ</t>
    </rPh>
    <rPh sb="21" eb="24">
      <t>ヘイガンズ</t>
    </rPh>
    <rPh sb="26" eb="28">
      <t>ヘイガン</t>
    </rPh>
    <rPh sb="30" eb="33">
      <t>カノウセイ</t>
    </rPh>
    <rPh sb="36" eb="38">
      <t>バアイ</t>
    </rPh>
    <rPh sb="40" eb="42">
      <t>ガイトウ</t>
    </rPh>
    <rPh sb="44" eb="46">
      <t>センタク</t>
    </rPh>
    <phoneticPr fontId="1"/>
  </si>
  <si>
    <t>提出日</t>
    <rPh sb="0" eb="3">
      <t>テイシュツビ</t>
    </rPh>
    <phoneticPr fontId="1"/>
  </si>
  <si>
    <t>入力必須、年月日で入力(例：2025年7月31日)</t>
    <phoneticPr fontId="1"/>
  </si>
  <si>
    <t>法人番号（インボイス登録番号）</t>
    <rPh sb="10" eb="14">
      <t>トウロクバンゴウ</t>
    </rPh>
    <phoneticPr fontId="1"/>
  </si>
  <si>
    <t>入力必須、半角数字(13桁)、
法人番号がない場合はインボイス登録番号(T+13桁)を入力</t>
    <rPh sb="5" eb="7">
      <t>ハンカク</t>
    </rPh>
    <rPh sb="7" eb="9">
      <t>スウジ</t>
    </rPh>
    <rPh sb="12" eb="13">
      <t>ケタ</t>
    </rPh>
    <rPh sb="40" eb="41">
      <t>ケタ</t>
    </rPh>
    <rPh sb="43" eb="45">
      <t>ニュウリョク</t>
    </rPh>
    <phoneticPr fontId="1"/>
  </si>
  <si>
    <t>事業者名（企業名）</t>
    <rPh sb="0" eb="3">
      <t>ジギョウシャ</t>
    </rPh>
    <rPh sb="5" eb="8">
      <t>キギョウメイ</t>
    </rPh>
    <phoneticPr fontId="1"/>
  </si>
  <si>
    <t>入力必須、
コンソーシアムによる共同申請の場合には、幹事企業を入力</t>
  </si>
  <si>
    <t>本社所在地（都道府県）</t>
    <rPh sb="0" eb="2">
      <t>ホンシャ</t>
    </rPh>
    <rPh sb="2" eb="5">
      <t>ショザイチ</t>
    </rPh>
    <rPh sb="6" eb="10">
      <t>トドウフケン</t>
    </rPh>
    <phoneticPr fontId="1"/>
  </si>
  <si>
    <t>入力必須、リストから選択</t>
    <rPh sb="10" eb="12">
      <t>センタク</t>
    </rPh>
    <phoneticPr fontId="1"/>
  </si>
  <si>
    <t>代表者名</t>
  </si>
  <si>
    <t>入力必須</t>
  </si>
  <si>
    <t>代表者役職</t>
  </si>
  <si>
    <t>担当者１</t>
  </si>
  <si>
    <t>担当者名（ふりがな）</t>
  </si>
  <si>
    <t>入力必須、ひらがな、姓名の間に全角スペースを入れる</t>
    <rPh sb="10" eb="12">
      <t>セイメイ</t>
    </rPh>
    <rPh sb="13" eb="14">
      <t>アイダ</t>
    </rPh>
    <rPh sb="15" eb="17">
      <t>ゼンカク</t>
    </rPh>
    <rPh sb="22" eb="23">
      <t>イ</t>
    </rPh>
    <phoneticPr fontId="1"/>
  </si>
  <si>
    <t>※窓口担当者</t>
    <rPh sb="1" eb="3">
      <t>マドグチ</t>
    </rPh>
    <rPh sb="3" eb="6">
      <t>タントウシャ</t>
    </rPh>
    <phoneticPr fontId="1"/>
  </si>
  <si>
    <t>担当者名</t>
  </si>
  <si>
    <t>入力必須、姓名の間に全角スペースを入れる</t>
    <phoneticPr fontId="1"/>
  </si>
  <si>
    <t>所属</t>
  </si>
  <si>
    <t>役職</t>
  </si>
  <si>
    <t>電話番号（代表）</t>
    <phoneticPr fontId="1"/>
  </si>
  <si>
    <t>入力必須、半角数字(10/11桁)、ハイフン除く</t>
    <rPh sb="5" eb="9">
      <t>ハンカクスウジ</t>
    </rPh>
    <rPh sb="22" eb="23">
      <t>ノゾ</t>
    </rPh>
    <phoneticPr fontId="1"/>
  </si>
  <si>
    <t>電話番号（直通）</t>
    <phoneticPr fontId="1"/>
  </si>
  <si>
    <t>半角数字(10/11桁)、ハイフン除く</t>
    <rPh sb="0" eb="4">
      <t>ハンカクスウジ</t>
    </rPh>
    <rPh sb="17" eb="18">
      <t>ノゾ</t>
    </rPh>
    <phoneticPr fontId="1"/>
  </si>
  <si>
    <t>電話番号（携帯）</t>
  </si>
  <si>
    <t>半角数字(11桁)、ハイフン除く</t>
    <rPh sb="0" eb="4">
      <t>ハンカクスウジ</t>
    </rPh>
    <rPh sb="7" eb="8">
      <t>ケタ</t>
    </rPh>
    <rPh sb="14" eb="15">
      <t>ノゾ</t>
    </rPh>
    <phoneticPr fontId="1"/>
  </si>
  <si>
    <t>e-mail</t>
  </si>
  <si>
    <t>入力必須、半角</t>
    <rPh sb="5" eb="7">
      <t>ハンカク</t>
    </rPh>
    <phoneticPr fontId="1"/>
  </si>
  <si>
    <t>担当者２</t>
  </si>
  <si>
    <t>担当者2を入力する場合は入力必須、
ひらがな、姓名の間に全角スペースを入れる</t>
    <rPh sb="0" eb="3">
      <t>タントウシャ</t>
    </rPh>
    <rPh sb="5" eb="7">
      <t>ニュウリョク</t>
    </rPh>
    <rPh sb="9" eb="11">
      <t>バアイ</t>
    </rPh>
    <rPh sb="12" eb="16">
      <t>ニュウリョクヒッス</t>
    </rPh>
    <phoneticPr fontId="1"/>
  </si>
  <si>
    <t>担当者2を入力する場合は入力必須、
姓名の間に全角スペースを入れる</t>
    <rPh sb="9" eb="11">
      <t>バアイ</t>
    </rPh>
    <phoneticPr fontId="1"/>
  </si>
  <si>
    <t>担当者2を入力する場合は入力必須、
半角数字(10/11桁)、ハイフン除く</t>
    <rPh sb="0" eb="3">
      <t>タントウシャ</t>
    </rPh>
    <rPh sb="5" eb="7">
      <t>ニュウリョク</t>
    </rPh>
    <rPh sb="9" eb="11">
      <t>バアイ</t>
    </rPh>
    <rPh sb="12" eb="16">
      <t>ニュウリョクヒッス</t>
    </rPh>
    <rPh sb="18" eb="22">
      <t>ハンカクスウジ</t>
    </rPh>
    <rPh sb="35" eb="36">
      <t>ノゾ</t>
    </rPh>
    <phoneticPr fontId="1"/>
  </si>
  <si>
    <t>担当者2を入力する場合は入力必須、半角</t>
    <rPh sb="17" eb="19">
      <t>ハンカク</t>
    </rPh>
    <phoneticPr fontId="1"/>
  </si>
  <si>
    <t>コンソーシアムあるいはリース会社との共同申請</t>
    <rPh sb="14" eb="16">
      <t>ガイシャ</t>
    </rPh>
    <rPh sb="18" eb="22">
      <t>キョウドウシンセイ</t>
    </rPh>
    <phoneticPr fontId="1"/>
  </si>
  <si>
    <t>入力必須、リストから選択（該当/非該当）</t>
    <rPh sb="10" eb="12">
      <t>センタク</t>
    </rPh>
    <rPh sb="13" eb="15">
      <t>ガイトウ</t>
    </rPh>
    <rPh sb="16" eb="17">
      <t>ヒ</t>
    </rPh>
    <rPh sb="17" eb="19">
      <t>ガイトウ</t>
    </rPh>
    <phoneticPr fontId="1"/>
  </si>
  <si>
    <t>外部支援事業者の支援</t>
    <rPh sb="0" eb="7">
      <t>ガイブシエンジギョウシャ</t>
    </rPh>
    <rPh sb="8" eb="10">
      <t>シエン</t>
    </rPh>
    <phoneticPr fontId="1"/>
  </si>
  <si>
    <t>入力必須、リストから選択（該当/非該当）</t>
    <rPh sb="10" eb="12">
      <t>センタク</t>
    </rPh>
    <phoneticPr fontId="1"/>
  </si>
  <si>
    <t>金融機関の確認書の発行</t>
    <rPh sb="0" eb="4">
      <t>キンユウキカン</t>
    </rPh>
    <rPh sb="5" eb="8">
      <t>カクニンショ</t>
    </rPh>
    <rPh sb="9" eb="11">
      <t>ハッコウ</t>
    </rPh>
    <phoneticPr fontId="1"/>
  </si>
  <si>
    <t>入力必須、リストから選択（該当/非該当）
※コンソーシアムの場合は、半数以上の発行で『該当』を選択</t>
    <phoneticPr fontId="1"/>
  </si>
  <si>
    <t>様式1における役員報酬の公表</t>
    <rPh sb="0" eb="2">
      <t>ヨウシキ</t>
    </rPh>
    <rPh sb="7" eb="11">
      <t>ヤクインホウシュウ</t>
    </rPh>
    <rPh sb="12" eb="14">
      <t>コウヒョウ</t>
    </rPh>
    <phoneticPr fontId="1"/>
  </si>
  <si>
    <t>入力必須、リストから選択（公表/非公表）</t>
    <rPh sb="10" eb="12">
      <t>センタク</t>
    </rPh>
    <rPh sb="13" eb="15">
      <t>コウヒョウ</t>
    </rPh>
    <rPh sb="17" eb="19">
      <t>コウヒョウ</t>
    </rPh>
    <phoneticPr fontId="1"/>
  </si>
  <si>
    <t>コンソーシアムあるいはリース会社との共同申請の場合は以下を入力してください。</t>
    <rPh sb="14" eb="16">
      <t>ガイシャ</t>
    </rPh>
    <rPh sb="18" eb="22">
      <t>キョウドウシンセイ</t>
    </rPh>
    <rPh sb="23" eb="25">
      <t>バアイ</t>
    </rPh>
    <rPh sb="26" eb="28">
      <t>イカ</t>
    </rPh>
    <rPh sb="29" eb="31">
      <t>ニュウリョク</t>
    </rPh>
    <phoneticPr fontId="1"/>
  </si>
  <si>
    <t>事業者2</t>
    <rPh sb="0" eb="3">
      <t>ジギョウシャ</t>
    </rPh>
    <phoneticPr fontId="1"/>
  </si>
  <si>
    <t>半角数字(13桁)、
法人番号がない場合はインボイス登録番号(T+13桁)を入力</t>
    <rPh sb="0" eb="4">
      <t>ハンカクスウジ</t>
    </rPh>
    <rPh sb="7" eb="8">
      <t>ケタ</t>
    </rPh>
    <phoneticPr fontId="1"/>
  </si>
  <si>
    <t>リース会社に該当する場合は●を選択してください</t>
    <rPh sb="3" eb="5">
      <t>カイシャ</t>
    </rPh>
    <rPh sb="6" eb="8">
      <t>ガイトウ</t>
    </rPh>
    <rPh sb="10" eb="12">
      <t>バアイ</t>
    </rPh>
    <rPh sb="15" eb="17">
      <t>センタク</t>
    </rPh>
    <phoneticPr fontId="1"/>
  </si>
  <si>
    <t>事業者3</t>
    <rPh sb="0" eb="3">
      <t>ジギョウシャ</t>
    </rPh>
    <phoneticPr fontId="1"/>
  </si>
  <si>
    <t>事業者4</t>
    <rPh sb="0" eb="3">
      <t>ジギョウシャ</t>
    </rPh>
    <phoneticPr fontId="1"/>
  </si>
  <si>
    <t>事業者5</t>
    <rPh sb="0" eb="3">
      <t>ジギョウシャ</t>
    </rPh>
    <phoneticPr fontId="1"/>
  </si>
  <si>
    <t>事業者6</t>
    <rPh sb="0" eb="3">
      <t>ジギョウシャ</t>
    </rPh>
    <phoneticPr fontId="1"/>
  </si>
  <si>
    <t>事業者7</t>
    <rPh sb="0" eb="3">
      <t>ジギョウシャ</t>
    </rPh>
    <phoneticPr fontId="1"/>
  </si>
  <si>
    <t>事業者8</t>
    <rPh sb="0" eb="3">
      <t>ジギョウシャ</t>
    </rPh>
    <phoneticPr fontId="1"/>
  </si>
  <si>
    <t>事業者9</t>
    <rPh sb="0" eb="3">
      <t>ジギョウシャ</t>
    </rPh>
    <phoneticPr fontId="1"/>
  </si>
  <si>
    <t>事業者10</t>
    <rPh sb="0" eb="3">
      <t>ジギョウシャ</t>
    </rPh>
    <phoneticPr fontId="1"/>
  </si>
  <si>
    <t>1次・2次公募の採択の状況を入力してください。</t>
    <rPh sb="1" eb="2">
      <t>ジ</t>
    </rPh>
    <rPh sb="4" eb="7">
      <t>ジコウボ</t>
    </rPh>
    <rPh sb="8" eb="10">
      <t>サイタク</t>
    </rPh>
    <rPh sb="11" eb="13">
      <t>ジョウキョウ</t>
    </rPh>
    <rPh sb="14" eb="16">
      <t>ニュウリョク</t>
    </rPh>
    <phoneticPr fontId="1"/>
  </si>
  <si>
    <t>事業者1</t>
    <rPh sb="0" eb="3">
      <t>ジギョウシャ</t>
    </rPh>
    <phoneticPr fontId="1"/>
  </si>
  <si>
    <t>みなし同一法人が採択されている場合は、みなし同一法人の事業者名を上書き入力</t>
    <phoneticPr fontId="1"/>
  </si>
  <si>
    <t>1次・2次公募の採択</t>
    <phoneticPr fontId="1"/>
  </si>
  <si>
    <t>入力必須、リストから選択（該当・非該当）</t>
    <rPh sb="0" eb="4">
      <t>ニュウリョクヒッス</t>
    </rPh>
    <rPh sb="10" eb="12">
      <t>センタク</t>
    </rPh>
    <rPh sb="13" eb="15">
      <t>ガイトウ</t>
    </rPh>
    <rPh sb="16" eb="19">
      <t>ヒガイトウ</t>
    </rPh>
    <phoneticPr fontId="1"/>
  </si>
  <si>
    <t>1次・2次公募における業種（大分類）</t>
    <rPh sb="1" eb="2">
      <t>ジ</t>
    </rPh>
    <rPh sb="4" eb="7">
      <t>ジコウボ</t>
    </rPh>
    <rPh sb="11" eb="13">
      <t>ギョウシュ</t>
    </rPh>
    <rPh sb="14" eb="15">
      <t>ダイ</t>
    </rPh>
    <rPh sb="15" eb="17">
      <t>ブンルイ</t>
    </rPh>
    <phoneticPr fontId="1"/>
  </si>
  <si>
    <t>該当の場合、入力必須
1次・2次公募において採択を受けた事業の業種（大分類）を入力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ダイ</t>
    </rPh>
    <rPh sb="35" eb="37">
      <t>ブンルイ</t>
    </rPh>
    <rPh sb="39" eb="41">
      <t>ニュウリョク</t>
    </rPh>
    <phoneticPr fontId="1"/>
  </si>
  <si>
    <t>1次・2次公募における業種（中分類）</t>
    <rPh sb="1" eb="2">
      <t>ジ</t>
    </rPh>
    <rPh sb="4" eb="7">
      <t>ジコウボ</t>
    </rPh>
    <rPh sb="11" eb="13">
      <t>ギョウシュ</t>
    </rPh>
    <rPh sb="14" eb="15">
      <t>チュウ</t>
    </rPh>
    <rPh sb="15" eb="17">
      <t>ブンルイ</t>
    </rPh>
    <phoneticPr fontId="1"/>
  </si>
  <si>
    <t>該当の場合、入力必須
1次・2次公募において採択を受けた事業の業種（中分類）を入力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チュウ</t>
    </rPh>
    <rPh sb="35" eb="37">
      <t>ブンルイ</t>
    </rPh>
    <rPh sb="39" eb="41">
      <t>ニュウリョク</t>
    </rPh>
    <phoneticPr fontId="1"/>
  </si>
  <si>
    <t>1次・2次公募における業種（小分類）</t>
    <rPh sb="1" eb="2">
      <t>ジ</t>
    </rPh>
    <rPh sb="4" eb="7">
      <t>ジコウボ</t>
    </rPh>
    <rPh sb="11" eb="13">
      <t>ギョウシュ</t>
    </rPh>
    <rPh sb="14" eb="15">
      <t>ショウ</t>
    </rPh>
    <rPh sb="15" eb="17">
      <t>ブンルイ</t>
    </rPh>
    <phoneticPr fontId="1"/>
  </si>
  <si>
    <t>該当の場合、入力必須
1次・2次公募において採択を受けた事業の業種（小分類）を入力</t>
    <rPh sb="0" eb="2">
      <t>ガイトウ</t>
    </rPh>
    <rPh sb="3" eb="5">
      <t>バアイ</t>
    </rPh>
    <rPh sb="6" eb="10">
      <t>ニュウリョクヒッス</t>
    </rPh>
    <rPh sb="12" eb="13">
      <t>ジ</t>
    </rPh>
    <rPh sb="15" eb="16">
      <t>ジ</t>
    </rPh>
    <rPh sb="16" eb="18">
      <t>コウボ</t>
    </rPh>
    <rPh sb="22" eb="24">
      <t>サイタク</t>
    </rPh>
    <rPh sb="25" eb="26">
      <t>ウ</t>
    </rPh>
    <rPh sb="28" eb="30">
      <t>ジギョウ</t>
    </rPh>
    <rPh sb="31" eb="33">
      <t>ギョウシュ</t>
    </rPh>
    <rPh sb="34" eb="35">
      <t>ショウ</t>
    </rPh>
    <rPh sb="35" eb="37">
      <t>ブンルイ</t>
    </rPh>
    <rPh sb="39" eb="41">
      <t>ニュウリョク</t>
    </rPh>
    <phoneticPr fontId="1"/>
  </si>
  <si>
    <t>1次・2次公募における業種（その他）</t>
    <rPh sb="1" eb="2">
      <t>ジ</t>
    </rPh>
    <rPh sb="4" eb="7">
      <t>ジコウボ</t>
    </rPh>
    <rPh sb="11" eb="13">
      <t>ギョウシュ</t>
    </rPh>
    <rPh sb="16" eb="17">
      <t>タ</t>
    </rPh>
    <phoneticPr fontId="1"/>
  </si>
  <si>
    <t>大分類「T_分類不能の産業」、小分類「”その他の”もしくは”他に分類されない”から始まる産業」を選択した場合は必須</t>
    <rPh sb="0" eb="1">
      <t>ダイ</t>
    </rPh>
    <rPh sb="1" eb="3">
      <t>ブンルイ</t>
    </rPh>
    <rPh sb="6" eb="8">
      <t>ブンルイ</t>
    </rPh>
    <rPh sb="8" eb="10">
      <t>フノウ</t>
    </rPh>
    <rPh sb="11" eb="13">
      <t>サンギョウ</t>
    </rPh>
    <rPh sb="15" eb="16">
      <t>ショウ</t>
    </rPh>
    <rPh sb="16" eb="18">
      <t>ブンルイ</t>
    </rPh>
    <rPh sb="22" eb="23">
      <t>タ</t>
    </rPh>
    <rPh sb="30" eb="31">
      <t>ホカ</t>
    </rPh>
    <rPh sb="32" eb="34">
      <t>ブンルイ</t>
    </rPh>
    <rPh sb="41" eb="42">
      <t>ハジ</t>
    </rPh>
    <rPh sb="44" eb="46">
      <t>サンギョウ</t>
    </rPh>
    <rPh sb="48" eb="50">
      <t>センタク</t>
    </rPh>
    <rPh sb="52" eb="54">
      <t>バアイ</t>
    </rPh>
    <rPh sb="55" eb="57">
      <t>ヒッス</t>
    </rPh>
    <phoneticPr fontId="1"/>
  </si>
  <si>
    <t>みなし同一法人が採択されている場合は、みなし同一法人の事業者名を入力</t>
    <rPh sb="3" eb="5">
      <t>ドウイツ</t>
    </rPh>
    <rPh sb="5" eb="7">
      <t>ホウジン</t>
    </rPh>
    <rPh sb="8" eb="10">
      <t>サイタク</t>
    </rPh>
    <rPh sb="15" eb="17">
      <t>バアイ</t>
    </rPh>
    <rPh sb="22" eb="24">
      <t>ドウイツ</t>
    </rPh>
    <rPh sb="24" eb="26">
      <t>ホウジン</t>
    </rPh>
    <rPh sb="27" eb="30">
      <t>ジギョウシャ</t>
    </rPh>
    <rPh sb="30" eb="31">
      <t>メイ</t>
    </rPh>
    <rPh sb="32" eb="34">
      <t>ニュウリョク</t>
    </rPh>
    <phoneticPr fontId="1"/>
  </si>
  <si>
    <t>外部支援事業者の支援を受けた場合は以下を入力してください。(成長投資計画書等の作成を支援した外部支援者（コンサル等）がいる場合は必須)</t>
    <rPh sb="0" eb="7">
      <t>ガイブシエンジギョウシャ</t>
    </rPh>
    <rPh sb="8" eb="10">
      <t>シエン</t>
    </rPh>
    <rPh sb="11" eb="12">
      <t>ウ</t>
    </rPh>
    <rPh sb="14" eb="16">
      <t>バアイ</t>
    </rPh>
    <rPh sb="17" eb="19">
      <t>イカ</t>
    </rPh>
    <rPh sb="20" eb="22">
      <t>ニュウリョク</t>
    </rPh>
    <phoneticPr fontId="1"/>
  </si>
  <si>
    <t>外部支援事業者1</t>
    <phoneticPr fontId="1"/>
  </si>
  <si>
    <t>事業者名（企業名）</t>
    <rPh sb="0" eb="4">
      <t>ジギョウシャメイ</t>
    </rPh>
    <rPh sb="5" eb="8">
      <t>キギョウメイ</t>
    </rPh>
    <phoneticPr fontId="1"/>
  </si>
  <si>
    <t>支援期間</t>
    <rPh sb="0" eb="4">
      <t>シエンキカン</t>
    </rPh>
    <phoneticPr fontId="1"/>
  </si>
  <si>
    <t>年月日で入力(例：2025年7月1日～2025年8月31日)</t>
    <rPh sb="23" eb="24">
      <t>ネン</t>
    </rPh>
    <rPh sb="25" eb="26">
      <t>ガツ</t>
    </rPh>
    <rPh sb="28" eb="29">
      <t>ニチ</t>
    </rPh>
    <phoneticPr fontId="1"/>
  </si>
  <si>
    <t>外部支援事業者2</t>
  </si>
  <si>
    <t>外部支援事業者3</t>
  </si>
  <si>
    <t>外部支援事業者4</t>
  </si>
  <si>
    <t>外部支援事業者5</t>
  </si>
  <si>
    <t>外部支援事業者6</t>
  </si>
  <si>
    <t>外部支援事業者7</t>
  </si>
  <si>
    <t>外部支援事業者8</t>
  </si>
  <si>
    <t>外部支援事業者9</t>
  </si>
  <si>
    <t>外部支援事業者10</t>
  </si>
  <si>
    <t>金融機関の確認書を提出した場合は以下を入力してください。（金融機関の確認書を提出した場合は必須）</t>
    <rPh sb="0" eb="4">
      <t>キンユウキカン</t>
    </rPh>
    <rPh sb="5" eb="8">
      <t>カクニンショ</t>
    </rPh>
    <rPh sb="9" eb="11">
      <t>テイシュツ</t>
    </rPh>
    <rPh sb="13" eb="15">
      <t>バアイ</t>
    </rPh>
    <rPh sb="16" eb="18">
      <t>イカ</t>
    </rPh>
    <rPh sb="19" eb="21">
      <t>ニュウリョク</t>
    </rPh>
    <rPh sb="29" eb="33">
      <t>キンユウキカン</t>
    </rPh>
    <rPh sb="34" eb="36">
      <t>カクニン</t>
    </rPh>
    <rPh sb="36" eb="37">
      <t>ショ</t>
    </rPh>
    <rPh sb="45" eb="47">
      <t>ヒッス</t>
    </rPh>
    <phoneticPr fontId="1"/>
  </si>
  <si>
    <t>金融機関1</t>
    <rPh sb="0" eb="4">
      <t>キンユウキカン</t>
    </rPh>
    <phoneticPr fontId="1"/>
  </si>
  <si>
    <t>事業者名（企業名）</t>
    <rPh sb="0" eb="3">
      <t>ジギョウシャ</t>
    </rPh>
    <rPh sb="3" eb="4">
      <t>メイ</t>
    </rPh>
    <rPh sb="5" eb="8">
      <t>キギョウメイ</t>
    </rPh>
    <phoneticPr fontId="1"/>
  </si>
  <si>
    <t>金融機関2</t>
    <rPh sb="0" eb="4">
      <t>キンユウキカン</t>
    </rPh>
    <phoneticPr fontId="1"/>
  </si>
  <si>
    <t>金融機関3</t>
    <rPh sb="0" eb="4">
      <t>キンユウキカン</t>
    </rPh>
    <phoneticPr fontId="1"/>
  </si>
  <si>
    <t>金融機関4</t>
    <rPh sb="0" eb="4">
      <t>キンユウキカン</t>
    </rPh>
    <phoneticPr fontId="1"/>
  </si>
  <si>
    <t>金融機関5</t>
    <rPh sb="0" eb="4">
      <t>キンユウキカン</t>
    </rPh>
    <phoneticPr fontId="1"/>
  </si>
  <si>
    <t>金融機関6</t>
    <rPh sb="0" eb="4">
      <t>キンユウキカン</t>
    </rPh>
    <phoneticPr fontId="1"/>
  </si>
  <si>
    <t>金融機関7</t>
    <rPh sb="0" eb="4">
      <t>キンユウキカン</t>
    </rPh>
    <phoneticPr fontId="1"/>
  </si>
  <si>
    <t>金融機関8</t>
    <rPh sb="0" eb="4">
      <t>キンユウキカン</t>
    </rPh>
    <phoneticPr fontId="1"/>
  </si>
  <si>
    <t>金融機関9</t>
    <rPh sb="0" eb="4">
      <t>キンユウキカン</t>
    </rPh>
    <phoneticPr fontId="1"/>
  </si>
  <si>
    <t>金融機関10</t>
    <rPh sb="0" eb="4">
      <t>キンユウキカン</t>
    </rPh>
    <phoneticPr fontId="1"/>
  </si>
  <si>
    <t>中小企業から中堅企業への移行の宣誓書を提出した場合は以下を入力してください。（中小企業から中堅企業への移行の宣誓書を提出した場合は必須）</t>
    <rPh sb="19" eb="21">
      <t>テイシュツ</t>
    </rPh>
    <rPh sb="23" eb="25">
      <t>バアイ</t>
    </rPh>
    <rPh sb="26" eb="28">
      <t>イカ</t>
    </rPh>
    <rPh sb="29" eb="31">
      <t>ニュウリョク</t>
    </rPh>
    <rPh sb="65" eb="67">
      <t>ヒッス</t>
    </rPh>
    <phoneticPr fontId="1"/>
  </si>
  <si>
    <t>資本金基準 現在</t>
    <rPh sb="0" eb="5">
      <t>シホンキンキジュン</t>
    </rPh>
    <rPh sb="6" eb="8">
      <t>ゲンザイ</t>
    </rPh>
    <phoneticPr fontId="1"/>
  </si>
  <si>
    <t>中小企業から中堅企業への移行の宣誓書を提出した場合は必須　
単位：円</t>
    <rPh sb="30" eb="32">
      <t>タンイ</t>
    </rPh>
    <rPh sb="33" eb="34">
      <t>エン</t>
    </rPh>
    <phoneticPr fontId="1"/>
  </si>
  <si>
    <t>資本金基準 目標</t>
    <rPh sb="0" eb="5">
      <t>シホンキンキジュン</t>
    </rPh>
    <rPh sb="6" eb="8">
      <t>モクヒョウ</t>
    </rPh>
    <phoneticPr fontId="1"/>
  </si>
  <si>
    <t>従業員数基準 現在</t>
    <rPh sb="0" eb="6">
      <t>ジュウギョウインスウキジュン</t>
    </rPh>
    <rPh sb="7" eb="9">
      <t>ゲンザイ</t>
    </rPh>
    <phoneticPr fontId="1"/>
  </si>
  <si>
    <t>中小企業から中堅企業への移行の宣誓書を提出した場合は必須　
単位：人</t>
    <rPh sb="30" eb="32">
      <t>タンイ</t>
    </rPh>
    <rPh sb="33" eb="34">
      <t>ニン</t>
    </rPh>
    <phoneticPr fontId="1"/>
  </si>
  <si>
    <t>従業員数基準 目標</t>
    <rPh sb="0" eb="6">
      <t>ジュウギョウインスウキジュン</t>
    </rPh>
    <rPh sb="7" eb="9">
      <t>モクヒョウ</t>
    </rPh>
    <phoneticPr fontId="1"/>
  </si>
  <si>
    <t>&lt;入力チェック&gt;</t>
    <rPh sb="1" eb="3">
      <t>ニュウリョク</t>
    </rPh>
    <phoneticPr fontId="1"/>
  </si>
  <si>
    <t>入力内容に不備がある場合「チェック結果」欄にメッセージが表示されます。メッセージが表示されている場合は申請不備となりますので注意してください。</t>
    <rPh sb="0" eb="2">
      <t>ニュウリョク</t>
    </rPh>
    <rPh sb="2" eb="4">
      <t>ナイヨウ</t>
    </rPh>
    <rPh sb="5" eb="7">
      <t>フビ</t>
    </rPh>
    <rPh sb="10" eb="12">
      <t>バアイ</t>
    </rPh>
    <rPh sb="17" eb="19">
      <t>ケッカ</t>
    </rPh>
    <rPh sb="20" eb="21">
      <t>ラン</t>
    </rPh>
    <rPh sb="28" eb="30">
      <t>ヒョウジ</t>
    </rPh>
    <rPh sb="41" eb="43">
      <t>ヒョウジ</t>
    </rPh>
    <rPh sb="48" eb="50">
      <t>バアイ</t>
    </rPh>
    <rPh sb="51" eb="55">
      <t>シンセイフビ</t>
    </rPh>
    <rPh sb="62" eb="64">
      <t>チュウイ</t>
    </rPh>
    <phoneticPr fontId="1"/>
  </si>
  <si>
    <t>#_項目</t>
    <rPh sb="2" eb="4">
      <t>コウモク</t>
    </rPh>
    <phoneticPr fontId="1"/>
  </si>
  <si>
    <t>チェック内容</t>
    <rPh sb="4" eb="6">
      <t>ナイヨウ</t>
    </rPh>
    <phoneticPr fontId="1"/>
  </si>
  <si>
    <t>チェック結果</t>
    <rPh sb="4" eb="6">
      <t>ケッカ</t>
    </rPh>
    <phoneticPr fontId="1"/>
  </si>
  <si>
    <t>#Err：正しい形式で入力されているか確認してください</t>
  </si>
  <si>
    <t>該当（みなし同一法人あり）・該当（みなし同一法人なし）・非該当のいずれかを選択</t>
    <rPh sb="0" eb="2">
      <t>ガイトウ</t>
    </rPh>
    <rPh sb="6" eb="10">
      <t>ドウイツホウジン</t>
    </rPh>
    <rPh sb="14" eb="16">
      <t>ガイトウ</t>
    </rPh>
    <rPh sb="20" eb="24">
      <t>ドウイツホウジン</t>
    </rPh>
    <rPh sb="28" eb="31">
      <t>ヒガイトウ</t>
    </rPh>
    <rPh sb="37" eb="39">
      <t>センタク</t>
    </rPh>
    <phoneticPr fontId="1"/>
  </si>
  <si>
    <t>1/4補助率を許容する・1/4補助率を許容しないのいずれかを選択</t>
    <rPh sb="3" eb="6">
      <t>ホジョリツ</t>
    </rPh>
    <rPh sb="7" eb="9">
      <t>キョヨウ</t>
    </rPh>
    <rPh sb="15" eb="18">
      <t>ホジョリツ</t>
    </rPh>
    <rPh sb="19" eb="21">
      <t>キョヨウ</t>
    </rPh>
    <rPh sb="30" eb="32">
      <t>センタク</t>
    </rPh>
    <phoneticPr fontId="1"/>
  </si>
  <si>
    <t>該当・非該当のいずれかを選択</t>
    <rPh sb="0" eb="2">
      <t>ガイトウ</t>
    </rPh>
    <rPh sb="3" eb="6">
      <t>ヒガイトウ</t>
    </rPh>
    <rPh sb="12" eb="14">
      <t>センタク</t>
    </rPh>
    <phoneticPr fontId="1"/>
  </si>
  <si>
    <t>公募開始日以降の日付を入力</t>
    <rPh sb="0" eb="2">
      <t>コウボ</t>
    </rPh>
    <rPh sb="2" eb="5">
      <t>カイシビ</t>
    </rPh>
    <rPh sb="5" eb="7">
      <t>イコウ</t>
    </rPh>
    <rPh sb="8" eb="10">
      <t>ヒヅケ</t>
    </rPh>
    <rPh sb="11" eb="13">
      <t>ニュウリョク</t>
    </rPh>
    <phoneticPr fontId="1"/>
  </si>
  <si>
    <t>13桁の半角数字もしくはT+13桁の数字（何れも半角）で入力</t>
    <rPh sb="16" eb="17">
      <t>ケタ</t>
    </rPh>
    <rPh sb="18" eb="20">
      <t>スウジ</t>
    </rPh>
    <rPh sb="21" eb="22">
      <t>イズ</t>
    </rPh>
    <rPh sb="24" eb="26">
      <t>ハンカク</t>
    </rPh>
    <rPh sb="28" eb="30">
      <t>ニュウリョク</t>
    </rPh>
    <phoneticPr fontId="1"/>
  </si>
  <si>
    <t>プルダウンより選択された都道府県名</t>
    <rPh sb="7" eb="9">
      <t>センタク</t>
    </rPh>
    <rPh sb="12" eb="16">
      <t>トドウフケン</t>
    </rPh>
    <rPh sb="16" eb="17">
      <t>ナ</t>
    </rPh>
    <phoneticPr fontId="1"/>
  </si>
  <si>
    <t>入力必須</t>
    <rPh sb="0" eb="4">
      <t>ニュウリョクヒッス</t>
    </rPh>
    <phoneticPr fontId="1"/>
  </si>
  <si>
    <t>入力必須、スペースやハイフンを除き10桁/11桁の半角数字で入力</t>
    <rPh sb="0" eb="4">
      <t>ニュウリョクヒッス</t>
    </rPh>
    <phoneticPr fontId="1"/>
  </si>
  <si>
    <t>入力したらスペースやハイフンを除き10桁/11桁の半角数字で入力</t>
    <rPh sb="0" eb="2">
      <t>ニュウリョク</t>
    </rPh>
    <phoneticPr fontId="1"/>
  </si>
  <si>
    <t>入力したらスペースやハイフンを除き11桁の半角数字で入力</t>
    <phoneticPr fontId="1"/>
  </si>
  <si>
    <t>入力必須、メールアドレスの形式に則っていること</t>
    <rPh sb="0" eb="2">
      <t>ニュウリョク</t>
    </rPh>
    <rPh sb="2" eb="4">
      <t>ヒッス</t>
    </rPh>
    <rPh sb="13" eb="15">
      <t>ケイシキ</t>
    </rPh>
    <rPh sb="16" eb="17">
      <t>ノット</t>
    </rPh>
    <phoneticPr fontId="1"/>
  </si>
  <si>
    <t>担当者2_担当者名を入力したら入力必須</t>
    <phoneticPr fontId="1"/>
  </si>
  <si>
    <t>担当者2に係る他項目のいずれかを入力したら入力必須</t>
    <rPh sb="5" eb="6">
      <t>カカワ</t>
    </rPh>
    <rPh sb="7" eb="8">
      <t>ホカ</t>
    </rPh>
    <rPh sb="8" eb="10">
      <t>コウモク</t>
    </rPh>
    <rPh sb="16" eb="18">
      <t>ニュウリョク</t>
    </rPh>
    <rPh sb="21" eb="25">
      <t>ニュウリョクヒッス</t>
    </rPh>
    <phoneticPr fontId="1"/>
  </si>
  <si>
    <t>担当者2_担当者名を入力したら入力必須、
スペースやハイフンを除き10桁/11桁の半角数字で入力</t>
    <rPh sb="31" eb="32">
      <t>ノゾ</t>
    </rPh>
    <rPh sb="35" eb="36">
      <t>ケタ</t>
    </rPh>
    <rPh sb="39" eb="40">
      <t>ケタ</t>
    </rPh>
    <rPh sb="41" eb="43">
      <t>ハンカク</t>
    </rPh>
    <rPh sb="43" eb="45">
      <t>スウジ</t>
    </rPh>
    <rPh sb="46" eb="48">
      <t>ニュウリョク</t>
    </rPh>
    <phoneticPr fontId="1"/>
  </si>
  <si>
    <t>担当者2_担当者名を入力したら入力必須、
メールアドレスの形式に則っていること</t>
    <phoneticPr fontId="1"/>
  </si>
  <si>
    <t>該当・非該当のいずれかを選択
該当の場合、コンソーシアムの申請者名を記載</t>
    <rPh sb="0" eb="2">
      <t>ガイトウ</t>
    </rPh>
    <rPh sb="3" eb="6">
      <t>ヒガイトウ</t>
    </rPh>
    <rPh sb="12" eb="14">
      <t>センタク</t>
    </rPh>
    <rPh sb="15" eb="17">
      <t>ガイトウ</t>
    </rPh>
    <rPh sb="18" eb="20">
      <t>バアイ</t>
    </rPh>
    <rPh sb="29" eb="33">
      <t>シンセイシャメイ</t>
    </rPh>
    <rPh sb="34" eb="36">
      <t>キサイ</t>
    </rPh>
    <phoneticPr fontId="1"/>
  </si>
  <si>
    <t>該当・非該当のいずれかを選択
該当の場合、外部支援事業者名、支援期間を記載</t>
    <rPh sb="0" eb="2">
      <t>ガイトウ</t>
    </rPh>
    <rPh sb="3" eb="6">
      <t>ヒガイトウ</t>
    </rPh>
    <rPh sb="12" eb="14">
      <t>センタク</t>
    </rPh>
    <rPh sb="15" eb="17">
      <t>ガイトウ</t>
    </rPh>
    <rPh sb="18" eb="20">
      <t>バアイ</t>
    </rPh>
    <rPh sb="21" eb="28">
      <t>ガイブシエンジギョウシャ</t>
    </rPh>
    <rPh sb="28" eb="29">
      <t>メイ</t>
    </rPh>
    <rPh sb="30" eb="34">
      <t>シエンキカン</t>
    </rPh>
    <rPh sb="35" eb="37">
      <t>キサイ</t>
    </rPh>
    <phoneticPr fontId="1"/>
  </si>
  <si>
    <t>該当・非該当のいずれかを選択
該当の場合、金融機関名を記載</t>
    <rPh sb="0" eb="2">
      <t>ガイトウ</t>
    </rPh>
    <rPh sb="3" eb="6">
      <t>ヒガイトウ</t>
    </rPh>
    <rPh sb="12" eb="14">
      <t>センタク</t>
    </rPh>
    <rPh sb="15" eb="17">
      <t>ガイトウ</t>
    </rPh>
    <rPh sb="18" eb="20">
      <t>バアイ</t>
    </rPh>
    <rPh sb="21" eb="26">
      <t>キンユウキカンメイ</t>
    </rPh>
    <rPh sb="27" eb="29">
      <t>キサイ</t>
    </rPh>
    <phoneticPr fontId="1"/>
  </si>
  <si>
    <t>公表・非公表のいずれかを選択</t>
    <rPh sb="0" eb="2">
      <t>コウヒョウ</t>
    </rPh>
    <rPh sb="3" eb="6">
      <t>ヒコウヒョウ</t>
    </rPh>
    <rPh sb="12" eb="14">
      <t>センタク</t>
    </rPh>
    <phoneticPr fontId="1"/>
  </si>
  <si>
    <t>コンソーシアムによる共同申請</t>
    <rPh sb="10" eb="14">
      <t>キョウドウシンセイ</t>
    </rPh>
    <phoneticPr fontId="1"/>
  </si>
  <si>
    <t xml:space="preserve"> </t>
    <phoneticPr fontId="1"/>
  </si>
  <si>
    <t>事業者2_事業者名（企業名）を入力したら入力必須、
13桁の半角数字もしくはT+13桁の数字（何れも半角）</t>
    <rPh sb="42" eb="43">
      <t>ケタ</t>
    </rPh>
    <rPh sb="44" eb="46">
      <t>スウジ</t>
    </rPh>
    <rPh sb="47" eb="48">
      <t>イズ</t>
    </rPh>
    <rPh sb="50" eb="52">
      <t>ハンカク</t>
    </rPh>
    <phoneticPr fontId="2"/>
  </si>
  <si>
    <t>事業者2_法人番号を入力したら入力必須</t>
    <rPh sb="10" eb="12">
      <t>ニュウリョク</t>
    </rPh>
    <rPh sb="15" eb="19">
      <t>ニュウリョクヒッス</t>
    </rPh>
    <phoneticPr fontId="1"/>
  </si>
  <si>
    <t>入力したら●のみ可</t>
    <rPh sb="0" eb="2">
      <t>ニュウリョク</t>
    </rPh>
    <rPh sb="8" eb="9">
      <t>カ</t>
    </rPh>
    <phoneticPr fontId="1"/>
  </si>
  <si>
    <t>事業者3_事業者名（企業名）を入力したら入力必須、
13桁の半角数字もしくはT+13桁の数字（何れも半角）</t>
    <rPh sb="42" eb="43">
      <t>ケタ</t>
    </rPh>
    <rPh sb="44" eb="46">
      <t>スウジ</t>
    </rPh>
    <rPh sb="47" eb="48">
      <t>イズ</t>
    </rPh>
    <rPh sb="50" eb="52">
      <t>ハンカク</t>
    </rPh>
    <phoneticPr fontId="2"/>
  </si>
  <si>
    <t>事業者3_法人番号を入力したら入力必須</t>
    <rPh sb="10" eb="12">
      <t>ニュウリョク</t>
    </rPh>
    <rPh sb="15" eb="19">
      <t>ニュウリョクヒッス</t>
    </rPh>
    <phoneticPr fontId="1"/>
  </si>
  <si>
    <t>事業者4_事業者名（企業名）を入力したら入力必須、
13桁の半角数字もしくはT+13桁の数字（何れも半角）</t>
    <rPh sb="42" eb="43">
      <t>ケタ</t>
    </rPh>
    <rPh sb="44" eb="46">
      <t>スウジ</t>
    </rPh>
    <rPh sb="47" eb="48">
      <t>イズ</t>
    </rPh>
    <rPh sb="50" eb="52">
      <t>ハンカク</t>
    </rPh>
    <phoneticPr fontId="2"/>
  </si>
  <si>
    <t>事業者4_法人番号を入力したら入力必須</t>
  </si>
  <si>
    <t>入力したら●のみ可</t>
    <phoneticPr fontId="1"/>
  </si>
  <si>
    <t>事業者5_事業者名（企業名）を入力したら入力必須、
13桁の半角数字もしくはT+13桁の数字（何れも半角）</t>
    <rPh sb="42" eb="43">
      <t>ケタ</t>
    </rPh>
    <rPh sb="44" eb="46">
      <t>スウジ</t>
    </rPh>
    <rPh sb="47" eb="48">
      <t>イズ</t>
    </rPh>
    <rPh sb="50" eb="52">
      <t>ハンカク</t>
    </rPh>
    <phoneticPr fontId="2"/>
  </si>
  <si>
    <t>事業者5_法人番号を入力したら入力必須</t>
  </si>
  <si>
    <t>事業者6_事業者名（企業名）を入力したら入力必須、
13桁の半角数字もしくはT+13桁の数字（何れも半角）</t>
    <rPh sb="42" eb="43">
      <t>ケタ</t>
    </rPh>
    <rPh sb="44" eb="46">
      <t>スウジ</t>
    </rPh>
    <rPh sb="47" eb="48">
      <t>イズ</t>
    </rPh>
    <rPh sb="50" eb="52">
      <t>ハンカク</t>
    </rPh>
    <phoneticPr fontId="2"/>
  </si>
  <si>
    <t>事業者6_法人番号を入力したら入力必須</t>
  </si>
  <si>
    <t>事業者7_事業者名（企業名）を入力したら入力必須、
13桁の半角数字もしくはT+13桁の数字（何れも半角）</t>
    <rPh sb="46" eb="47">
      <t>ケタ</t>
    </rPh>
    <rPh sb="48" eb="50">
      <t>スウジ</t>
    </rPh>
    <rPh sb="51" eb="52">
      <t>イズハンカク</t>
    </rPh>
    <phoneticPr fontId="2"/>
  </si>
  <si>
    <t>事業者7_法人番号を入力したら入力必須</t>
  </si>
  <si>
    <t>事業者8_事業者名（企業名）を入力したら入力必須、
13桁の半角数字もしくはT+13桁の数字（何れも半角）</t>
    <rPh sb="46" eb="47">
      <t>ケタ</t>
    </rPh>
    <rPh sb="48" eb="50">
      <t>スウジ</t>
    </rPh>
    <rPh sb="51" eb="52">
      <t>イズハンカク</t>
    </rPh>
    <phoneticPr fontId="2"/>
  </si>
  <si>
    <t>事業者8_法人番号を入力したら入力必須</t>
  </si>
  <si>
    <t>事業者9_事業者名（企業名）を入力したら入力必須、
13桁の半角数字もしくはT+13桁の数字（何れも半角）</t>
    <rPh sb="46" eb="47">
      <t>ケタ</t>
    </rPh>
    <rPh sb="48" eb="50">
      <t>スウジ</t>
    </rPh>
    <rPh sb="51" eb="52">
      <t>イズハンカク</t>
    </rPh>
    <phoneticPr fontId="2"/>
  </si>
  <si>
    <t>事業者9_法人番号を入力したら入力必須</t>
  </si>
  <si>
    <t>事業者10_事業者名（企業名）を入力したら入力必須、
13桁の半角数字もしくはT+13桁の数字（何れも半角）</t>
    <rPh sb="47" eb="48">
      <t>ケタ</t>
    </rPh>
    <rPh sb="49" eb="51">
      <t>スウジ</t>
    </rPh>
    <rPh sb="52" eb="53">
      <t>イズハンカク</t>
    </rPh>
    <phoneticPr fontId="2"/>
  </si>
  <si>
    <t>事業者10_法人番号を入力したら入力必須</t>
  </si>
  <si>
    <t>1次・2次公募の採択の状況</t>
    <phoneticPr fontId="1"/>
  </si>
  <si>
    <t>1次・2次公募の採択に該当する場合は入力必須</t>
    <rPh sb="11" eb="13">
      <t>ガイトウ</t>
    </rPh>
    <rPh sb="15" eb="17">
      <t>バアイ</t>
    </rPh>
    <rPh sb="18" eb="22">
      <t>ニュウリョクヒッス</t>
    </rPh>
    <phoneticPr fontId="1"/>
  </si>
  <si>
    <t>コンソーシアムの事業者名を入力したら入力必須</t>
    <rPh sb="8" eb="12">
      <t>ジギョウシャメイ</t>
    </rPh>
    <rPh sb="13" eb="15">
      <t>ニュウリョク</t>
    </rPh>
    <rPh sb="18" eb="22">
      <t>ニュウリョクヒッス</t>
    </rPh>
    <phoneticPr fontId="1"/>
  </si>
  <si>
    <t>■補助事業情報</t>
    <rPh sb="1" eb="3">
      <t>ホジョ</t>
    </rPh>
    <rPh sb="3" eb="5">
      <t>ジギョウ</t>
    </rPh>
    <rPh sb="5" eb="7">
      <t>ジョウホウ</t>
    </rPh>
    <phoneticPr fontId="1"/>
  </si>
  <si>
    <t>(1)提出日　　　　：</t>
    <rPh sb="3" eb="6">
      <t>テイシュツビ</t>
    </rPh>
    <phoneticPr fontId="1"/>
  </si>
  <si>
    <t>(2)事業者名　　　：</t>
    <rPh sb="3" eb="7">
      <t>ジギョウシャメイ</t>
    </rPh>
    <phoneticPr fontId="1"/>
  </si>
  <si>
    <t>(3)最新決算期末日：</t>
    <rPh sb="3" eb="5">
      <t>サイシン</t>
    </rPh>
    <rPh sb="5" eb="7">
      <t>ケッサン</t>
    </rPh>
    <rPh sb="7" eb="9">
      <t>キマツ</t>
    </rPh>
    <rPh sb="9" eb="10">
      <t>ヒ</t>
    </rPh>
    <phoneticPr fontId="1"/>
  </si>
  <si>
    <t>(4)補助事業完了日：</t>
    <rPh sb="3" eb="5">
      <t>ホジョ</t>
    </rPh>
    <rPh sb="5" eb="7">
      <t>ジギョウ</t>
    </rPh>
    <rPh sb="7" eb="9">
      <t>カンリョウ</t>
    </rPh>
    <rPh sb="9" eb="10">
      <t>ビ</t>
    </rPh>
    <phoneticPr fontId="1"/>
  </si>
  <si>
    <t>（金額単位：円）</t>
  </si>
  <si>
    <t>(5)補助事業完了日　</t>
    <rPh sb="3" eb="5">
      <t>ホジョ</t>
    </rPh>
    <rPh sb="5" eb="7">
      <t>ジギョウ</t>
    </rPh>
    <rPh sb="7" eb="9">
      <t>カンリョウ</t>
    </rPh>
    <rPh sb="9" eb="10">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</si>
  <si>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</si>
  <si>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</si>
  <si>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</si>
  <si>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</si>
  <si>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</si>
  <si>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(6)基準年度変更　：</t>
    <rPh sb="3" eb="5">
      <t>キジュン</t>
    </rPh>
    <rPh sb="5" eb="6">
      <t>ネン</t>
    </rPh>
    <rPh sb="6" eb="7">
      <t>ド</t>
    </rPh>
    <rPh sb="7" eb="9">
      <t>ヘンコウ</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</si>
  <si>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</si>
  <si>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</si>
  <si>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</si>
  <si>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</si>
  <si>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6">
      <t>コテイシサン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</si>
  <si>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</si>
  <si>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</si>
  <si>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</si>
  <si>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</si>
  <si>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</si>
  <si>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</si>
  <si>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うち資本金</t>
    <rPh sb="2" eb="5">
      <t>シホンキン</t>
    </rPh>
    <phoneticPr fontId="1"/>
  </si>
  <si>
    <t>本数値が賃上げ率となりますので、
成長投資計画書（様式１）と平仄を合わせてください。
様式１と２で数値が異なる場合は、
審査が行えない可能性があります。</t>
    <phoneticPr fontId="1"/>
  </si>
  <si>
    <t>1人当たり給与支給総額上昇率
（最新決算期～基準年度）</t>
    <rPh sb="1" eb="2">
      <t>ヒト</t>
    </rPh>
    <rPh sb="2" eb="3">
      <t>ア</t>
    </rPh>
    <rPh sb="5" eb="11">
      <t>キュウヨシキュウソウガク</t>
    </rPh>
    <rPh sb="11" eb="14">
      <t>ジョウショウリツ</t>
    </rPh>
    <rPh sb="16" eb="21">
      <t>サイシンケッサンキ</t>
    </rPh>
    <rPh sb="22" eb="26">
      <t>キジュンネンド</t>
    </rPh>
    <phoneticPr fontId="1"/>
  </si>
  <si>
    <t>従業員・役員</t>
    <rPh sb="0" eb="3">
      <t>ジュウギョウイン</t>
    </rPh>
    <rPh sb="4" eb="6">
      <t>ヤクイン</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</si>
  <si>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</si>
  <si>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</si>
  <si>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</si>
  <si>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</si>
  <si>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</si>
  <si>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</si>
  <si>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</si>
  <si>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t>
    <rPh sb="0" eb="5">
      <t>フカカチガク</t>
    </rPh>
    <phoneticPr fontId="1"/>
  </si>
  <si>
    <t>常時使用する従業員数（就業時間換算）</t>
    <rPh sb="9" eb="10">
      <t>スウ</t>
    </rPh>
    <rPh sb="11" eb="13">
      <t>シュウギョウ</t>
    </rPh>
    <rPh sb="13" eb="15">
      <t>ジカン</t>
    </rPh>
    <rPh sb="15" eb="17">
      <t>カンサン</t>
    </rPh>
    <phoneticPr fontId="1"/>
  </si>
  <si>
    <t>単位：人</t>
    <rPh sb="0" eb="2">
      <t>タンイ</t>
    </rPh>
    <rPh sb="3" eb="4">
      <t>ヒト</t>
    </rPh>
    <phoneticPr fontId="1"/>
  </si>
  <si>
    <t>役員数</t>
    <rPh sb="0" eb="3">
      <t>ヤクインスウ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</si>
  <si>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</si>
  <si>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</si>
  <si>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</si>
  <si>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</si>
  <si>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</si>
  <si>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単位：%</t>
    <rPh sb="0" eb="2">
      <t>タンイ</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</si>
  <si>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</si>
  <si>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</si>
  <si>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</si>
  <si>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企業活動基本調査の定義</t>
    <rPh sb="9" eb="11">
      <t>テイギ</t>
    </rPh>
    <phoneticPr fontId="1"/>
  </si>
  <si>
    <t>参考：有形固定資産 | 定義単位項目情報 | 政府統計の総合窓口 (e-stat.go.jp)</t>
    <rPh sb="3" eb="9">
      <t>ユウケイコテイシサン</t>
    </rPh>
    <phoneticPr fontId="1"/>
  </si>
  <si>
    <t>無形固定資産投資額</t>
    <rPh sb="0" eb="9">
      <t>ムケイコテイシサントウシガク</t>
    </rPh>
    <phoneticPr fontId="1"/>
  </si>
  <si>
    <t>参考：無形固定資産｜定義単位項目情報 | 政府統計の総合窓口 (e-stat.go.jp)</t>
    <rPh sb="0" eb="2">
      <t>サンコウ</t>
    </rPh>
    <rPh sb="10" eb="12">
      <t>テイギ</t>
    </rPh>
    <rPh sb="12" eb="14">
      <t>タンイ</t>
    </rPh>
    <rPh sb="14" eb="16">
      <t>コウモク</t>
    </rPh>
    <rPh sb="16" eb="18">
      <t>ジョウホウ</t>
    </rPh>
    <rPh sb="21" eb="23">
      <t>セイフ</t>
    </rPh>
    <rPh sb="23" eb="25">
      <t>トウケイ</t>
    </rPh>
    <rPh sb="26" eb="28">
      <t>ソウゴウ</t>
    </rPh>
    <rPh sb="28" eb="30">
      <t>マドグチ</t>
    </rPh>
    <phoneticPr fontId="1"/>
  </si>
  <si>
    <t>研究開発費</t>
    <rPh sb="0" eb="5">
      <t>ケンキュウカイハツヒ</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</si>
  <si>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</si>
  <si>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</si>
  <si>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</si>
  <si>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■行動変容に係る数値</t>
    <rPh sb="1" eb="5">
      <t>コウドウヘンヨウ</t>
    </rPh>
    <rPh sb="6" eb="7">
      <t>カカ</t>
    </rPh>
    <rPh sb="8" eb="10">
      <t>スウチ</t>
    </rPh>
    <phoneticPr fontId="1"/>
  </si>
  <si>
    <t>年間平均投資額（従前の場合）</t>
    <rPh sb="0" eb="2">
      <t>ネンカン</t>
    </rPh>
    <rPh sb="2" eb="4">
      <t>ヘイキン</t>
    </rPh>
    <rPh sb="4" eb="6">
      <t>トウシ</t>
    </rPh>
    <rPh sb="6" eb="7">
      <t>ガク</t>
    </rPh>
    <rPh sb="8" eb="10">
      <t>ジュウゼン</t>
    </rPh>
    <rPh sb="11" eb="13">
      <t>バアイ</t>
    </rPh>
    <phoneticPr fontId="1"/>
  </si>
  <si>
    <t>単位：円</t>
    <rPh sb="0" eb="2">
      <t>タンイ</t>
    </rPh>
    <rPh sb="3" eb="4">
      <t>エン</t>
    </rPh>
    <phoneticPr fontId="1"/>
  </si>
  <si>
    <t>年間平均投資額（補助事業実施の場合）</t>
    <rPh sb="0" eb="2">
      <t>ネンカン</t>
    </rPh>
    <rPh sb="2" eb="4">
      <t>ヘイキン</t>
    </rPh>
    <rPh sb="4" eb="6">
      <t>トウシ</t>
    </rPh>
    <rPh sb="6" eb="7">
      <t>ガク</t>
    </rPh>
    <rPh sb="8" eb="14">
      <t>ホジョジギョウジッシ</t>
    </rPh>
    <rPh sb="15" eb="17">
      <t>バアイ</t>
    </rPh>
    <phoneticPr fontId="1"/>
  </si>
  <si>
    <t>従業員・役員の年間賃上げ率（従前の場合）</t>
    <rPh sb="0" eb="3">
      <t>ジュウギョウイン</t>
    </rPh>
    <rPh sb="4" eb="6">
      <t>ヤクイン</t>
    </rPh>
    <rPh sb="7" eb="11">
      <t>ネンカンチンア</t>
    </rPh>
    <rPh sb="12" eb="13">
      <t>リツ</t>
    </rPh>
    <rPh sb="14" eb="16">
      <t>ジュウゼン</t>
    </rPh>
    <rPh sb="17" eb="19">
      <t>バアイ</t>
    </rPh>
    <phoneticPr fontId="1"/>
  </si>
  <si>
    <t>従業員・役員の年間賃上げ率（補助事業実施の場合）</t>
    <rPh sb="0" eb="3">
      <t>ジュウギョウイン</t>
    </rPh>
    <rPh sb="4" eb="6">
      <t>ヤクイン</t>
    </rPh>
    <rPh sb="7" eb="11">
      <t>ネンカンチンア</t>
    </rPh>
    <rPh sb="12" eb="13">
      <t>リツ</t>
    </rPh>
    <phoneticPr fontId="1"/>
  </si>
  <si>
    <t>年間売上成長率（従前の場合）</t>
    <rPh sb="0" eb="2">
      <t>ネンカン</t>
    </rPh>
    <rPh sb="2" eb="7">
      <t>ウリアゲセイチョウリツ</t>
    </rPh>
    <rPh sb="8" eb="10">
      <t>ジュウゼン</t>
    </rPh>
    <rPh sb="11" eb="13">
      <t>バアイ</t>
    </rPh>
    <phoneticPr fontId="1"/>
  </si>
  <si>
    <t>年間売上成長率（補助事業実施の場合）</t>
    <rPh sb="0" eb="2">
      <t>ネンカン</t>
    </rPh>
    <rPh sb="2" eb="7">
      <t>ウリアゲセイチョウリツ</t>
    </rPh>
    <rPh sb="8" eb="14">
      <t>ホジョジギョウジッシ</t>
    </rPh>
    <rPh sb="15" eb="17">
      <t>バアイ</t>
    </rPh>
    <phoneticPr fontId="1"/>
  </si>
  <si>
    <t>■その他</t>
    <rPh sb="3" eb="4">
      <t>タ</t>
    </rPh>
    <phoneticPr fontId="1"/>
  </si>
  <si>
    <t>5-4 次世代育成支援対策推進法に基づく一般事業主行動計画を公表している企業あるいはくるみん認定企業、5-5 女性活躍推進法に基づく一般事業主行動計画を公表している企業あるいはえるぼし認定企業は、</t>
    <rPh sb="55" eb="61">
      <t>ジョセイカツヤクスイシン</t>
    </rPh>
    <phoneticPr fontId="1"/>
  </si>
  <si>
    <t>該当の場合、総合サイト（https://positive-ryouritsu.mhlw.go.jp/）より検索を行い自社の情報が記載されているウェブサイトのURLを記載してください。</t>
    <rPh sb="0" eb="2">
      <t>ガイトウ</t>
    </rPh>
    <rPh sb="3" eb="5">
      <t>バアイ</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</si>
  <si>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</si>
  <si>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</si>
  <si>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参考：「地域未来牽引企業」（経済産業省）</t>
    <rPh sb="14" eb="19">
      <t>ケイザイサンギョウショウ</t>
    </rPh>
    <phoneticPr fontId="1"/>
  </si>
  <si>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</si>
  <si>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phoneticPr fontId="1"/>
  </si>
  <si>
    <t>地域経済牽引事業計画</t>
    <rPh sb="0" eb="6">
      <t>チイキケイザイケンイン</t>
    </rPh>
    <rPh sb="6" eb="8">
      <t>ジギョウ</t>
    </rPh>
    <rPh sb="8" eb="10">
      <t>ケイカク</t>
    </rPh>
    <phoneticPr fontId="1"/>
  </si>
  <si>
    <t>参考：「地域未来投資促進法」 （経済産業省）</t>
    <phoneticPr fontId="1"/>
  </si>
  <si>
    <t>次世代育成支援対策推進法に基づく一般事業主行動計画を公表している企業あるいはくるみん認定企業</t>
    <rPh sb="0" eb="3">
      <t>ジセダイ</t>
    </rPh>
    <rPh sb="3" eb="5">
      <t>イクセイ</t>
    </rPh>
    <rPh sb="5" eb="7">
      <t>シエン</t>
    </rPh>
    <rPh sb="7" eb="9">
      <t>タイサク</t>
    </rPh>
    <rPh sb="9" eb="11">
      <t>スイシン</t>
    </rPh>
    <rPh sb="11" eb="12">
      <t>ホウ</t>
    </rPh>
    <rPh sb="13" eb="14">
      <t>モト</t>
    </rPh>
    <rPh sb="16" eb="18">
      <t>イッパン</t>
    </rPh>
    <rPh sb="18" eb="21">
      <t>ジギョウヌシ</t>
    </rPh>
    <rPh sb="21" eb="23">
      <t>コウドウ</t>
    </rPh>
    <rPh sb="23" eb="25">
      <t>ケイカク</t>
    </rPh>
    <rPh sb="26" eb="28">
      <t>コウヒョウ</t>
    </rPh>
    <rPh sb="32" eb="34">
      <t>キギョウ</t>
    </rPh>
    <rPh sb="42" eb="44">
      <t>ニンテイ</t>
    </rPh>
    <rPh sb="44" eb="46">
      <t>キギョウ</t>
    </rPh>
    <phoneticPr fontId="1"/>
  </si>
  <si>
    <t>(URLを記入)</t>
  </si>
  <si>
    <t>参考：「くるみんについて」（厚生労働省）</t>
    <rPh sb="0" eb="2">
      <t>サンコウ</t>
    </rPh>
    <phoneticPr fontId="1"/>
  </si>
  <si>
    <t>女性活躍推進法に基づくに基づく一般事業主行動計画を公表している企業あるいは
えるぼし認定企業</t>
    <rPh sb="12" eb="13">
      <t>モト</t>
    </rPh>
    <rPh sb="15" eb="17">
      <t>イッパン</t>
    </rPh>
    <rPh sb="17" eb="20">
      <t>ジギョウヌシ</t>
    </rPh>
    <rPh sb="20" eb="22">
      <t>コウドウ</t>
    </rPh>
    <rPh sb="22" eb="24">
      <t>ケイカク</t>
    </rPh>
    <rPh sb="25" eb="27">
      <t>コウヒョウ</t>
    </rPh>
    <rPh sb="31" eb="33">
      <t>キギョウ</t>
    </rPh>
    <rPh sb="42" eb="44">
      <t>ニンテイ</t>
    </rPh>
    <rPh sb="44" eb="46">
      <t>キギョウ</t>
    </rPh>
    <phoneticPr fontId="1"/>
  </si>
  <si>
    <t>参考：「えるぼし認定・プラチナえるぼし認定」（厚生労働省）</t>
    <rPh sb="0" eb="2">
      <t>サンコウ</t>
    </rPh>
    <phoneticPr fontId="1"/>
  </si>
  <si>
    <t>地域企業経営人材マッチング促進事業活用企業</t>
    <rPh sb="0" eb="2">
      <t>チイキ</t>
    </rPh>
    <rPh sb="2" eb="4">
      <t>キギョウ</t>
    </rPh>
    <rPh sb="4" eb="6">
      <t>ケイエイ</t>
    </rPh>
    <rPh sb="6" eb="8">
      <t>ジンザイ</t>
    </rPh>
    <rPh sb="13" eb="15">
      <t>ソクシン</t>
    </rPh>
    <rPh sb="15" eb="17">
      <t>ジギョウ</t>
    </rPh>
    <rPh sb="17" eb="19">
      <t>カツヨウ</t>
    </rPh>
    <rPh sb="19" eb="21">
      <t>キギョウ</t>
    </rPh>
    <phoneticPr fontId="1"/>
  </si>
  <si>
    <t>参考：「地域企業経営人材マッチング促進事業」 ポータルサイト</t>
    <phoneticPr fontId="1"/>
  </si>
  <si>
    <t>※補助事業の担当者が該当する場合は氏名（フルネーム）と補助事業実施体制内での役割を記載してください。</t>
    <rPh sb="1" eb="5">
      <t>ホジョジギョウ</t>
    </rPh>
    <rPh sb="6" eb="9">
      <t>タントウシャ</t>
    </rPh>
    <rPh sb="10" eb="12">
      <t>ガイトウ</t>
    </rPh>
    <rPh sb="14" eb="16">
      <t>バアイ</t>
    </rPh>
    <rPh sb="17" eb="19">
      <t>シメイ</t>
    </rPh>
    <rPh sb="27" eb="33">
      <t>ホジョジギョウジッシ</t>
    </rPh>
    <rPh sb="33" eb="36">
      <t>タイセイナイ</t>
    </rPh>
    <rPh sb="38" eb="40">
      <t>ヤクワリ</t>
    </rPh>
    <phoneticPr fontId="1"/>
  </si>
  <si>
    <t>1人目</t>
    <rPh sb="0" eb="3">
      <t>ヒトリメ</t>
    </rPh>
    <phoneticPr fontId="1"/>
  </si>
  <si>
    <t>(氏名を記入)</t>
  </si>
  <si>
    <t>（役割を記入)</t>
    <rPh sb="1" eb="3">
      <t>ヤクワリ</t>
    </rPh>
    <rPh sb="4" eb="6">
      <t>キニュウ</t>
    </rPh>
    <phoneticPr fontId="1"/>
  </si>
  <si>
    <t>※6名以上の場合は、5名まで記載してください。</t>
    <rPh sb="2" eb="5">
      <t>メイイジョウ</t>
    </rPh>
    <rPh sb="6" eb="8">
      <t>バアイ</t>
    </rPh>
    <rPh sb="11" eb="12">
      <t>メイ</t>
    </rPh>
    <rPh sb="14" eb="16">
      <t>キサイ</t>
    </rPh>
    <phoneticPr fontId="1"/>
  </si>
  <si>
    <t>2人目</t>
    <rPh sb="1" eb="3">
      <t>ニンメ</t>
    </rPh>
    <phoneticPr fontId="1"/>
  </si>
  <si>
    <t>(氏名を記入)</t>
    <rPh sb="1" eb="3">
      <t>シメイ</t>
    </rPh>
    <rPh sb="4" eb="6">
      <t>キニュウ</t>
    </rPh>
    <phoneticPr fontId="1"/>
  </si>
  <si>
    <t>3人目</t>
    <rPh sb="1" eb="3">
      <t>ニンメ</t>
    </rPh>
    <phoneticPr fontId="1"/>
  </si>
  <si>
    <t>4人目</t>
    <rPh sb="1" eb="3">
      <t>ニンメ</t>
    </rPh>
    <phoneticPr fontId="1"/>
  </si>
  <si>
    <t>5人目</t>
    <rPh sb="1" eb="3">
      <t>ニンメ</t>
    </rPh>
    <phoneticPr fontId="1"/>
  </si>
  <si>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</si>
  <si>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</si>
  <si>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全社の業種（小分類）</t>
    <rPh sb="0" eb="2">
      <t>ゼンシャ</t>
    </rPh>
    <rPh sb="3" eb="5">
      <t>ギョウシュ</t>
    </rPh>
    <rPh sb="6" eb="7">
      <t>ショウ</t>
    </rPh>
    <rPh sb="7" eb="9">
      <t>ブンルイ</t>
    </rPh>
    <phoneticPr fontId="1"/>
  </si>
  <si>
    <t>全社の業種（その他）　※大分類が「T_分類不能の産業」、小分類が「”その他の”もしくは”他に分類されない”から始まる産業」</t>
    <phoneticPr fontId="1"/>
  </si>
  <si>
    <t>記述</t>
    <rPh sb="0" eb="2">
      <t>キジュツ</t>
    </rPh>
    <phoneticPr fontId="1"/>
  </si>
  <si>
    <t>参考：日本標準産業分類（総務省）</t>
  </si>
  <si>
    <t>&lt;補助事業にかかる財務数値&gt;</t>
    <rPh sb="1" eb="3">
      <t>ホジョ</t>
    </rPh>
    <rPh sb="3" eb="5">
      <t>ジギョウ</t>
    </rPh>
    <rPh sb="9" eb="13">
      <t>ザイムスウチ</t>
    </rPh>
    <phoneticPr fontId="1"/>
  </si>
  <si>
    <t>本数値が補助事業完了年度（基準年度）～補助事業完了から3年後の年度（最終年度）の目標賃上げ率となりますので、
成長投資計画書（様式１）と平仄を合わせてください。
様式１と２で数値が異なる場合は、審査が行えない可能性があります。</t>
  </si>
  <si>
    <t>1人当たり給与支給総額上昇率</t>
    <rPh sb="1" eb="2">
      <t>ヒト</t>
    </rPh>
    <rPh sb="2" eb="3">
      <t>ア</t>
    </rPh>
    <rPh sb="5" eb="11">
      <t>キュウヨシキュウソウガク</t>
    </rPh>
    <rPh sb="11" eb="14">
      <t>ジョウショウリツ</t>
    </rPh>
    <phoneticPr fontId="1"/>
  </si>
  <si>
    <t>基準：全国平均</t>
    <rPh sb="0" eb="2">
      <t>キジュン</t>
    </rPh>
    <rPh sb="3" eb="7">
      <t>ゼンコクヘイキン</t>
    </rPh>
    <phoneticPr fontId="1"/>
  </si>
  <si>
    <t>■収支計画（補助事業における数値）</t>
    <rPh sb="1" eb="5">
      <t>シュウシケイカク</t>
    </rPh>
    <rPh sb="6" eb="8">
      <t>ホジョ</t>
    </rPh>
    <rPh sb="8" eb="10">
      <t>ジギョウ</t>
    </rPh>
    <rPh sb="14" eb="16">
      <t>スウチ</t>
    </rPh>
    <phoneticPr fontId="1"/>
  </si>
  <si>
    <t>従業員</t>
    <rPh sb="0" eb="3">
      <t>ジュウギョウイン</t>
    </rPh>
    <phoneticPr fontId="1"/>
  </si>
  <si>
    <t>役員</t>
    <rPh sb="0" eb="2">
      <t>ヤクイン</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</si>
  <si>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</si>
  <si>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</si>
  <si>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</si>
  <si>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補助事業の業種（大分類）</t>
    <rPh sb="0" eb="4">
      <t>ホジョジギョウ</t>
    </rPh>
    <rPh sb="5" eb="7">
      <t>ギョウシュ</t>
    </rPh>
    <rPh sb="8" eb="11">
      <t>ダイブンルイ</t>
    </rPh>
    <phoneticPr fontId="1"/>
  </si>
  <si>
    <t>補助事業の業種（中分類）</t>
    <rPh sb="0" eb="4">
      <t>ホジョジギョウ</t>
    </rPh>
    <rPh sb="5" eb="7">
      <t>ギョウシュ</t>
    </rPh>
    <rPh sb="8" eb="11">
      <t>チュウブンルイ</t>
    </rPh>
    <phoneticPr fontId="1"/>
  </si>
  <si>
    <t>補助事業の業種（小分類）</t>
    <rPh sb="0" eb="4">
      <t>ホジョジギョウ</t>
    </rPh>
    <rPh sb="5" eb="7">
      <t>ギョウシュ</t>
    </rPh>
    <rPh sb="8" eb="9">
      <t>ショウ</t>
    </rPh>
    <rPh sb="9" eb="11">
      <t>ブンルイ</t>
    </rPh>
    <phoneticPr fontId="1"/>
  </si>
  <si>
    <t>補助事業の業種（その他）　※大分類が「T_分類不能の産業」、小分類が「”その他の”もしくは”他に分類されない”から始まる産業」</t>
    <rPh sb="0" eb="4">
      <t>ホジョジギョウ</t>
    </rPh>
    <phoneticPr fontId="1"/>
  </si>
  <si>
    <t>主な事業実施場所</t>
    <rPh sb="0" eb="1">
      <t>オモ</t>
    </rPh>
    <rPh sb="2" eb="8">
      <t>ジギョウジッシバショ</t>
    </rPh>
    <phoneticPr fontId="1"/>
  </si>
  <si>
    <t>事業実施場所</t>
    <rPh sb="0" eb="6">
      <t>ジギョウジッシバショ</t>
    </rPh>
    <phoneticPr fontId="1"/>
  </si>
  <si>
    <t>&lt;補足・留意事項&gt;</t>
    <rPh sb="1" eb="3">
      <t>ホソク</t>
    </rPh>
    <rPh sb="4" eb="6">
      <t>リュウイ</t>
    </rPh>
    <rPh sb="6" eb="8">
      <t>ジコウ</t>
    </rPh>
    <phoneticPr fontId="1"/>
  </si>
  <si>
    <t>従業員1人当たり給与支給総額の上昇率 及び 労働生産性は、従業員の総就業時間ベースで審査いたします。</t>
    <rPh sb="19" eb="20">
      <t>オヨ</t>
    </rPh>
    <rPh sb="29" eb="32">
      <t>ジュウギョウイン</t>
    </rPh>
    <rPh sb="33" eb="34">
      <t>ソウ</t>
    </rPh>
    <rPh sb="34" eb="36">
      <t>シュウギョウ</t>
    </rPh>
    <rPh sb="36" eb="38">
      <t>ジカン</t>
    </rPh>
    <rPh sb="42" eb="44">
      <t>シンサ</t>
    </rPh>
    <phoneticPr fontId="1"/>
  </si>
  <si>
    <t>なお、正社員は従業員数ベースでカウントし、就業時間換算はパートタイム従業者に対して適用してください。</t>
    <rPh sb="3" eb="6">
      <t>セイシャイン</t>
    </rPh>
    <rPh sb="7" eb="10">
      <t>ジュウギョウイン</t>
    </rPh>
    <rPh sb="10" eb="11">
      <t>スウ</t>
    </rPh>
    <rPh sb="21" eb="23">
      <t>シュウギョウ</t>
    </rPh>
    <rPh sb="23" eb="25">
      <t>ジカン</t>
    </rPh>
    <rPh sb="25" eb="27">
      <t>カンサン</t>
    </rPh>
    <phoneticPr fontId="1"/>
  </si>
  <si>
    <t>その場合、所定労働時間に換算するため、残業・深夜労働時間は含まず、事業者様の定時勤務時間で算出してください。</t>
  </si>
  <si>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</si>
  <si>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</si>
  <si>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企業が主として給与を負担している場合は含み、そうでない場合は除く。他の企業などから派遣されている者（労働者派遣法にいう派遣労働者）は除く。）</t>
    <rPh sb="0" eb="2">
      <t>キギョウ</t>
    </rPh>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</si>
  <si>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</si>
  <si>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</si>
  <si>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</si>
  <si>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計算式としては、「パートタイム従業者の年就業時間÷正社員1人当たり年就業時間」</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</si>
  <si>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</si>
  <si>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</si>
  <si>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補助上限額：50億円（補助率1/3以下）　
※③経費明細書シート</t>
    <rPh sb="17" eb="19">
      <t>イカ</t>
    </rPh>
    <rPh sb="24" eb="29">
      <t>ケイヒメイサイショ</t>
    </rPh>
    <phoneticPr fontId="1"/>
  </si>
  <si>
    <t>補助上限額</t>
    <rPh sb="0" eb="5">
      <t>ホジョジョウゲンガク</t>
    </rPh>
    <phoneticPr fontId="1"/>
  </si>
  <si>
    <t>補助上限額：50億円（補助率1/4以下）　
※③経費明細書シート　※1/4補助率を許容する事業者のみ</t>
    <rPh sb="17" eb="19">
      <t>イカ</t>
    </rPh>
    <rPh sb="24" eb="29">
      <t>ケイヒメイサイショ</t>
    </rPh>
    <phoneticPr fontId="1"/>
  </si>
  <si>
    <t>補助事業期間：最長で2027年12月末まで、補助事業期間の整合性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</si>
  <si>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</si>
  <si>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
※最新決算期時点で常時使用する従業員の数が0人の場合は、役員数でチェック</t>
    <rPh sb="22" eb="27">
      <t>サイシンケッサンキ</t>
    </rPh>
    <rPh sb="27" eb="29">
      <t>ジテン</t>
    </rPh>
    <rPh sb="43" eb="44">
      <t>ニン</t>
    </rPh>
    <rPh sb="45" eb="47">
      <t>バアイ</t>
    </rPh>
    <rPh sb="49" eb="52">
      <t>ヤクインスウ</t>
    </rPh>
    <phoneticPr fontId="1"/>
  </si>
  <si>
    <t>補助対象者</t>
    <rPh sb="0" eb="5">
      <t>ホジョタイショウシャ</t>
    </rPh>
    <phoneticPr fontId="1"/>
  </si>
  <si>
    <t>投資額10億円以上（専門家経費・外注費を除く補助対象経費分）
※③経費明細書シート</t>
    <phoneticPr fontId="1"/>
  </si>
  <si>
    <t>補助事業の要件</t>
    <rPh sb="0" eb="2">
      <t>ホジョ</t>
    </rPh>
    <rPh sb="2" eb="4">
      <t>ジギョウ</t>
    </rPh>
    <rPh sb="5" eb="7">
      <t>ヨウケン</t>
    </rPh>
    <phoneticPr fontId="1"/>
  </si>
  <si>
    <t>投資額5億円以上（専門家経費・外注費を除く補助対象経費分）の事業者が1者以上
※③経費明細書シート</t>
    <rPh sb="30" eb="33">
      <t>ジギョウシャ</t>
    </rPh>
    <rPh sb="35" eb="36">
      <t>シャ</t>
    </rPh>
    <rPh sb="36" eb="38">
      <t>イジョウ</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</si>
  <si>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</si>
  <si>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38" eb="40">
      <t>シキュウ</t>
    </rPh>
    <phoneticPr fontId="1"/>
  </si>
  <si>
    <t>補助事業の終了後3年間の補助事業に関わる役員1人当たり給与支給総額の年平均成長率が、基準率以上</t>
    <rPh sb="0" eb="2">
      <t>ホジョ</t>
    </rPh>
    <rPh sb="2" eb="4">
      <t>ジギョウ</t>
    </rPh>
    <rPh sb="5" eb="7">
      <t>シュウリョウ</t>
    </rPh>
    <rPh sb="7" eb="8">
      <t>ゴ</t>
    </rPh>
    <rPh sb="9" eb="11">
      <t>ネンカン</t>
    </rPh>
    <rPh sb="12" eb="14">
      <t>ホジョ</t>
    </rPh>
    <rPh sb="14" eb="16">
      <t>ジギョウ</t>
    </rPh>
    <rPh sb="17" eb="18">
      <t>カカ</t>
    </rPh>
    <rPh sb="20" eb="22">
      <t>ヤクイン</t>
    </rPh>
    <rPh sb="23" eb="24">
      <t>ニン</t>
    </rPh>
    <rPh sb="24" eb="25">
      <t>ア</t>
    </rPh>
    <rPh sb="27" eb="29">
      <t>キュウヨ</t>
    </rPh>
    <rPh sb="29" eb="31">
      <t>シキュウ</t>
    </rPh>
    <rPh sb="31" eb="33">
      <t>ソウガク</t>
    </rPh>
    <rPh sb="34" eb="37">
      <t>ネンヘイキン</t>
    </rPh>
    <rPh sb="37" eb="40">
      <t>セイチョウリツ</t>
    </rPh>
    <phoneticPr fontId="1"/>
  </si>
  <si>
    <t>1人当たり給与支給総額の年平均成長率が、従業員（#8）・役員（#9）とも基準率以上
（従業員もしくは役員が0人の場合は、いずれかが基準率以上）</t>
    <rPh sb="43" eb="46">
      <t>ジュウギョウイン</t>
    </rPh>
    <rPh sb="50" eb="52">
      <t>ヤクイン</t>
    </rPh>
    <rPh sb="54" eb="55">
      <t>ニン</t>
    </rPh>
    <rPh sb="56" eb="58">
      <t>バアイ</t>
    </rPh>
    <rPh sb="65" eb="68">
      <t>キジュンリツ</t>
    </rPh>
    <rPh sb="68" eb="70">
      <t>イジョウ</t>
    </rPh>
    <phoneticPr fontId="1"/>
  </si>
  <si>
    <t>「外注費、専門家経費」の合計が「建物費、機械装置費、ソフトウェア費」の合計未満
※③経費明細書シート</t>
    <rPh sb="1" eb="4">
      <t>ガイチュウヒ</t>
    </rPh>
    <rPh sb="12" eb="14">
      <t>ゴウケイ</t>
    </rPh>
    <rPh sb="16" eb="19">
      <t>タテモノヒ</t>
    </rPh>
    <rPh sb="20" eb="24">
      <t>キカイソウチ</t>
    </rPh>
    <rPh sb="24" eb="25">
      <t>ヒ</t>
    </rPh>
    <rPh sb="32" eb="33">
      <t>ヒ</t>
    </rPh>
    <rPh sb="35" eb="37">
      <t>ゴウケイ</t>
    </rPh>
    <rPh sb="37" eb="39">
      <t>ミマン</t>
    </rPh>
    <phoneticPr fontId="1"/>
  </si>
  <si>
    <t>補助対象経費</t>
    <rPh sb="0" eb="6">
      <t>ホジョタイショウケイヒ</t>
    </rPh>
    <phoneticPr fontId="1"/>
  </si>
  <si>
    <t>従業員の1人当たり給与支給総額：基準年度≧最新決算期</t>
    <rPh sb="16" eb="20">
      <t>キジュンネンド</t>
    </rPh>
    <rPh sb="21" eb="26">
      <t>サイシンケッサンキ</t>
    </rPh>
    <phoneticPr fontId="1"/>
  </si>
  <si>
    <t>役員の１人当たり給与支給総額：基準年度≧最新決算期</t>
    <rPh sb="15" eb="19">
      <t>キジュンネンド</t>
    </rPh>
    <rPh sb="20" eb="25">
      <t>サイシンケッサンキ</t>
    </rPh>
    <phoneticPr fontId="1"/>
  </si>
  <si>
    <t>補助事業の要件</t>
    <rPh sb="0" eb="4">
      <t>ホジョジギョウ</t>
    </rPh>
    <rPh sb="5" eb="7">
      <t>ヨウケン</t>
    </rPh>
    <phoneticPr fontId="1"/>
  </si>
  <si>
    <t>#</t>
    <phoneticPr fontId="1"/>
  </si>
  <si>
    <t>(4)補助事業完了日：2027年12月末まで、(3)最新決算期末日＜(4)補助事業完了日</t>
    <rPh sb="15" eb="16">
      <t>ネン</t>
    </rPh>
    <rPh sb="18" eb="19">
      <t>ガツ</t>
    </rPh>
    <rPh sb="19" eb="20">
      <t>マツ</t>
    </rPh>
    <phoneticPr fontId="1"/>
  </si>
  <si>
    <t>(5)補助事業完了日を含む事業年度：
　正しい事業年度を選択（G12~Q12のいずれかと一致）、
　(4)補助事業完了日より未来日を選択、(4)補助事業完了日から1年以内の年度を選択</t>
  </si>
  <si>
    <t>2-8_常時使用する従業員数（就業時間換算）：
　事業化報告3年目まで入力必須（0の場合は0を明示的に入力）、半角数字で入力</t>
    <rPh sb="55" eb="59">
      <t>ハンカクスウジ</t>
    </rPh>
    <rPh sb="60" eb="62">
      <t>ニュウリョク</t>
    </rPh>
    <phoneticPr fontId="1"/>
  </si>
  <si>
    <t>2-9_役員数：
　事業化報告3年目まで入力必須（0の場合は0を明示的に入力）、半角数字で入力</t>
    <rPh sb="40" eb="44">
      <t>ハンカクスウジ</t>
    </rPh>
    <rPh sb="45" eb="47">
      <t>ニュウリョク</t>
    </rPh>
    <phoneticPr fontId="1"/>
  </si>
  <si>
    <t>（A）事業に要する経費 ≧ （B）補助対象経費 ≧ （C）補助金交付申請額</t>
    <phoneticPr fontId="1"/>
  </si>
  <si>
    <t>事務局確認用（入力チェック）</t>
    <rPh sb="0" eb="3">
      <t>ジムキョク</t>
    </rPh>
    <rPh sb="3" eb="6">
      <t>カクニンヨウ</t>
    </rPh>
    <rPh sb="7" eb="9">
      <t>ニュウリョク</t>
    </rPh>
    <phoneticPr fontId="1"/>
  </si>
  <si>
    <t>2-4_給与支給総額（常時使用する従業員）≧6-4_給与支給総額（常時使用する従業員）</t>
    <rPh sb="4" eb="6">
      <t>キュウヨ</t>
    </rPh>
    <rPh sb="6" eb="8">
      <t>シキュウ</t>
    </rPh>
    <rPh sb="8" eb="10">
      <t>ソウガク</t>
    </rPh>
    <rPh sb="11" eb="13">
      <t>ジョウジ</t>
    </rPh>
    <rPh sb="13" eb="15">
      <t>シヨウ</t>
    </rPh>
    <rPh sb="17" eb="20">
      <t>ジュウギョウイン</t>
    </rPh>
    <rPh sb="26" eb="28">
      <t>キュウヨ</t>
    </rPh>
    <rPh sb="28" eb="30">
      <t>シキュウ</t>
    </rPh>
    <rPh sb="30" eb="32">
      <t>ソウガク</t>
    </rPh>
    <rPh sb="33" eb="35">
      <t>ジョウジ</t>
    </rPh>
    <rPh sb="35" eb="37">
      <t>シヨウ</t>
    </rPh>
    <rPh sb="39" eb="42">
      <t>ジュウギョウイン</t>
    </rPh>
    <phoneticPr fontId="1"/>
  </si>
  <si>
    <t>2-8_常時使用する従業員数（就業時間換算）≧6-8_常時使用する従業員数（就業時間換算）</t>
    <phoneticPr fontId="1"/>
  </si>
  <si>
    <t>2-5_給与支給総額（役員）≧6-5_給与支給総額（役員）</t>
    <phoneticPr fontId="1"/>
  </si>
  <si>
    <t>2-9_役員数 ≧ 6-9_役員数</t>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</si>
  <si>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</si>
  <si>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</si>
  <si>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</si>
  <si>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※各年度ごとの（C-1）補助金交付申請額※1/3補助率の場合もしくは（C-2）補助金交付申請額※1/4補助率の場合が、年度毎に支払われる補助金額の上限となります。</t>
    <rPh sb="2" eb="5">
      <t>カクネンド</t>
    </rPh>
    <rPh sb="13" eb="21">
      <t>ホジョキンコウフシンセイガク</t>
    </rPh>
    <rPh sb="25" eb="28">
      <t>ホジョリツ</t>
    </rPh>
    <rPh sb="29" eb="31">
      <t>バアイ</t>
    </rPh>
    <rPh sb="60" eb="62">
      <t>ネンド</t>
    </rPh>
    <rPh sb="62" eb="63">
      <t>ゴト</t>
    </rPh>
    <rPh sb="64" eb="66">
      <t>シハラ</t>
    </rPh>
    <rPh sb="69" eb="72">
      <t>ホジョキン</t>
    </rPh>
    <rPh sb="72" eb="73">
      <t>ガク</t>
    </rPh>
    <rPh sb="74" eb="76">
      <t>ジョウゲン</t>
    </rPh>
    <phoneticPr fontId="1"/>
  </si>
  <si>
    <t>・投資額が10億円以上（専門家経費・外注費を除く（B）補助対象経費分）になるように記載してください。</t>
    <phoneticPr fontId="1"/>
  </si>
  <si>
    <t>・（C-1）補助金交付申請額は、50億円以内、かつ（B）補助対象経費の1/3以下で入力してください。</t>
    <rPh sb="6" eb="9">
      <t>ホジョキン</t>
    </rPh>
    <rPh sb="9" eb="11">
      <t>コウフ</t>
    </rPh>
    <rPh sb="11" eb="14">
      <t>シンセイガク</t>
    </rPh>
    <rPh sb="18" eb="20">
      <t>オクエン</t>
    </rPh>
    <rPh sb="20" eb="22">
      <t>イナイ</t>
    </rPh>
    <rPh sb="28" eb="34">
      <t>ホジョタイショウケイヒ</t>
    </rPh>
    <rPh sb="38" eb="40">
      <t>イカ</t>
    </rPh>
    <rPh sb="41" eb="43">
      <t>ニュウリョク</t>
    </rPh>
    <phoneticPr fontId="1"/>
  </si>
  <si>
    <t>　※①申請者情報シートで『補助率1/4を許容する』を選択した場合は、（C-2）補助金交付申請額は、50億円以内、かつ（B）補助対象経費の1/4以下で入力してください。</t>
    <rPh sb="3" eb="6">
      <t>シンセイシャ</t>
    </rPh>
    <rPh sb="6" eb="8">
      <t>ジョウホウ</t>
    </rPh>
    <rPh sb="13" eb="16">
      <t>ホジョリツ</t>
    </rPh>
    <rPh sb="20" eb="22">
      <t>キョヨウ</t>
    </rPh>
    <rPh sb="26" eb="28">
      <t>センタク</t>
    </rPh>
    <rPh sb="30" eb="32">
      <t>バアイ</t>
    </rPh>
    <rPh sb="71" eb="73">
      <t>イカ</t>
    </rPh>
    <rPh sb="74" eb="76">
      <t>ニュウリョク</t>
    </rPh>
    <phoneticPr fontId="1"/>
  </si>
  <si>
    <t>&lt;事業者毎の経費明細&gt;</t>
    <rPh sb="1" eb="4">
      <t>ジギョウシャ</t>
    </rPh>
    <rPh sb="4" eb="5">
      <t>ゴト</t>
    </rPh>
    <rPh sb="6" eb="8">
      <t>ケイヒ</t>
    </rPh>
    <rPh sb="8" eb="10">
      <t>メイサイ</t>
    </rPh>
    <phoneticPr fontId="1"/>
  </si>
  <si>
    <t>（金額単位：円）</t>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</si>
  <si>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</si>
  <si>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</si>
  <si>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</si>
  <si>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</si>
  <si>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（C-1）補助金交付申請額
※1/3補助率の場合</t>
    <rPh sb="5" eb="8">
      <t>ホジョキン</t>
    </rPh>
    <rPh sb="8" eb="10">
      <t>コウフ</t>
    </rPh>
    <rPh sb="10" eb="12">
      <t>シンセイ</t>
    </rPh>
    <rPh sb="12" eb="13">
      <t>ガク</t>
    </rPh>
    <rPh sb="18" eb="21">
      <t>ホジョリツ</t>
    </rPh>
    <rPh sb="22" eb="24">
      <t>バアイ</t>
    </rPh>
    <phoneticPr fontId="1"/>
  </si>
  <si>
    <t>（C-2）補助金交付申請額
※1/4補助率の場合</t>
    <rPh sb="5" eb="8">
      <t>ホジョキン</t>
    </rPh>
    <rPh sb="8" eb="10">
      <t>コウフ</t>
    </rPh>
    <rPh sb="10" eb="12">
      <t>シンセイ</t>
    </rPh>
    <rPh sb="12" eb="13">
      <t>ガク</t>
    </rPh>
    <rPh sb="18" eb="21">
      <t>ホジョリツ</t>
    </rPh>
    <rPh sb="22" eb="24">
      <t>バアイ</t>
    </rPh>
    <phoneticPr fontId="1"/>
  </si>
  <si>
    <t>（D）積算基礎
※（B）の内訳（機械装置名、単価×数量等）</t>
    <rPh sb="3" eb="7">
      <t>セキサンキソ</t>
    </rPh>
    <rPh sb="13" eb="15">
      <t>ウチワケ</t>
    </rPh>
    <rPh sb="16" eb="21">
      <t>キカイソウチメイ</t>
    </rPh>
    <rPh sb="22" eb="24">
      <t>タンカ</t>
    </rPh>
    <rPh sb="25" eb="27">
      <t>スウリョウ</t>
    </rPh>
    <rPh sb="27" eb="28">
      <t>トウ</t>
    </rPh>
    <phoneticPr fontId="1"/>
  </si>
  <si>
    <t>合計</t>
    <rPh sb="0" eb="2">
      <t>ゴウケイ</t>
    </rPh>
    <phoneticPr fontId="1"/>
  </si>
  <si>
    <t>補助事業１年目</t>
    <phoneticPr fontId="1"/>
  </si>
  <si>
    <t>交付決定日～2026年3月31日</t>
    <phoneticPr fontId="1"/>
  </si>
  <si>
    <t>補助事業２年目</t>
    <phoneticPr fontId="1"/>
  </si>
  <si>
    <t>2026年4月1日～2027年3月31日</t>
    <phoneticPr fontId="1"/>
  </si>
  <si>
    <t>補助事業３年目</t>
    <phoneticPr fontId="1"/>
  </si>
  <si>
    <t>2027年4月1日～2027年12月31日</t>
    <phoneticPr fontId="1"/>
  </si>
  <si>
    <t>補助事業 合計</t>
    <phoneticPr fontId="1"/>
  </si>
  <si>
    <t>交付決定日～補助事業完了日</t>
    <phoneticPr fontId="1"/>
  </si>
  <si>
    <t>建物費</t>
    <rPh sb="0" eb="2">
      <t>タテモノ</t>
    </rPh>
    <rPh sb="2" eb="3">
      <t>ヒ</t>
    </rPh>
    <phoneticPr fontId="1"/>
  </si>
  <si>
    <t>補助事業１年目</t>
    <rPh sb="0" eb="4">
      <t>ホジョジギョウ</t>
    </rPh>
    <phoneticPr fontId="1"/>
  </si>
  <si>
    <t>交付決定日～2026年3月31日</t>
    <rPh sb="0" eb="5">
      <t>コウフケッテイビ</t>
    </rPh>
    <rPh sb="10" eb="11">
      <t>ネン</t>
    </rPh>
    <rPh sb="12" eb="13">
      <t>ガツ</t>
    </rPh>
    <rPh sb="15" eb="16">
      <t>ニチ</t>
    </rPh>
    <phoneticPr fontId="1"/>
  </si>
  <si>
    <t>補助事業２年目</t>
    <rPh sb="0" eb="4">
      <t>ホジョジギョウ</t>
    </rPh>
    <phoneticPr fontId="1"/>
  </si>
  <si>
    <t>2026年4月1日～2027年3月31日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</si>
  <si>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</si>
  <si>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2027年4月1日～2027年12月31日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</si>
  <si>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</si>
  <si>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</si>
  <si>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</si>
  <si>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</si>
  <si>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</si>
  <si>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</si>
  <si>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&lt;経費明細 合計&gt;</t>
    <rPh sb="1" eb="3">
      <t>ケイヒ</t>
    </rPh>
    <rPh sb="3" eb="5">
      <t>メイサイ</t>
    </rPh>
    <rPh sb="6" eb="8">
      <t>ゴウケイ</t>
    </rPh>
    <phoneticPr fontId="1"/>
  </si>
  <si>
    <t>投資額</t>
    <rPh sb="0" eb="3">
      <t>トウシガク</t>
    </rPh>
    <phoneticPr fontId="1"/>
  </si>
  <si>
    <t>事務局確認用（要件の充足チェック）</t>
    <rPh sb="0" eb="3">
      <t>ジムキョク</t>
    </rPh>
    <rPh sb="3" eb="6">
      <t>カクニンヨウ</t>
    </rPh>
    <rPh sb="7" eb="9">
      <t>ヨウケン</t>
    </rPh>
    <rPh sb="10" eb="12">
      <t>ジュウソク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</si>
  <si>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</si>
  <si>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</si>
  <si>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</si>
  <si>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</si>
  <si>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</si>
  <si>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</si>
  <si>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</si>
  <si>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</si>
  <si>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</si>
  <si>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</si>
  <si>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</si>
  <si>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</si>
  <si>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（A）事業に要する経費 ≧ （B）補助対象経費 ≧ （C-1）補助金交付申請額</t>
    <phoneticPr fontId="1"/>
  </si>
  <si>
    <t>大分類</t>
    <rPh sb="0" eb="3">
      <t>ダイブンルイ</t>
    </rPh>
    <phoneticPr fontId="2"/>
  </si>
  <si>
    <t>中分類</t>
    <rPh sb="0" eb="3">
      <t>チュウブンルイ</t>
    </rPh>
    <phoneticPr fontId="2"/>
  </si>
  <si>
    <t>小分類</t>
    <rPh sb="0" eb="3">
      <t>ショウブンルイ</t>
    </rPh>
    <phoneticPr fontId="2"/>
  </si>
  <si>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</si>
  <si>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</si>
  <si>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</si>
  <si>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</si>
  <si>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</si>
  <si>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</si>
  <si>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</si>
  <si>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</si>
  <si>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</si>
  <si>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</si>
  <si>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</si>
  <si>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</si>
  <si>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</si>
  <si>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</si>
  <si>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</si>
  <si>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</si>
  <si>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</si>
  <si>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</si>
  <si>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</si>
  <si>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</si>
  <si>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01_農業</t>
  </si>
  <si>
    <t>010_管理，補助的経済活動を行う事業所</t>
  </si>
  <si>
    <t>03_漁業_水産養殖業を除く</t>
    <phoneticPr fontId="1"/>
  </si>
  <si>
    <t>05_鉱業・採石業・砂利採取業</t>
    <phoneticPr fontId="1"/>
  </si>
  <si>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</si>
  <si>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</si>
  <si>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</si>
  <si>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</si>
  <si>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</si>
  <si>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</si>
  <si>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</si>
  <si>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</si>
  <si>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</si>
  <si>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</si>
  <si>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</si>
  <si>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</si>
  <si>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</si>
  <si>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</si>
  <si>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</si>
  <si>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</si>
  <si>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</si>
  <si>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011_耕種農業</t>
  </si>
  <si>
    <t>02_林業</t>
  </si>
  <si>
    <t>04_水産養殖業</t>
  </si>
  <si>
    <t>07_職別工事業_設備工事業を除く</t>
    <phoneticPr fontId="1"/>
  </si>
  <si>
    <t>10_飲料・たばこ・飼料製造業</t>
  </si>
  <si>
    <t>34_ガス業</t>
  </si>
  <si>
    <t>38_放送業</t>
  </si>
  <si>
    <t>43_道路旅客運送業</t>
  </si>
  <si>
    <t>51_繊維・衣服等卸売業</t>
  </si>
  <si>
    <t>63_協同組織金融業</t>
  </si>
  <si>
    <t>69_不動産賃貸業・管理業</t>
  </si>
  <si>
    <t>72_専門サービス業_他に分類されないもの</t>
  </si>
  <si>
    <t>76_飲食店</t>
  </si>
  <si>
    <t>79_その他の生活関連サービス業</t>
  </si>
  <si>
    <t>82_その他の教育・学習支援業</t>
    <phoneticPr fontId="1"/>
  </si>
  <si>
    <t>84_保健衛生</t>
  </si>
  <si>
    <t>87_協同組合_他に分類されないもの</t>
  </si>
  <si>
    <t>89_自動車整備業</t>
  </si>
  <si>
    <t>98_地方公務</t>
  </si>
  <si>
    <t>012_畜産農業</t>
  </si>
  <si>
    <t>08_設備工事業</t>
  </si>
  <si>
    <t>11_繊維工業</t>
  </si>
  <si>
    <t>35_熱供給業</t>
  </si>
  <si>
    <t>39_情報サービス業</t>
  </si>
  <si>
    <t>44_道路貨物運送業</t>
  </si>
  <si>
    <t>52_飲食料品卸売業</t>
  </si>
  <si>
    <t>64_貸金業・クレジットカード業等非預金信用機関</t>
    <phoneticPr fontId="1"/>
  </si>
  <si>
    <t>70_物品賃貸業</t>
  </si>
  <si>
    <t>73_広告業</t>
  </si>
  <si>
    <t>77_持ち帰り・配達飲食サービス業</t>
  </si>
  <si>
    <t>80_娯楽業</t>
  </si>
  <si>
    <t>85_社会保険・社会福祉・介護事業</t>
  </si>
  <si>
    <t>90_機械等修理業_別掲を除く</t>
  </si>
  <si>
    <t>013_農業サービス業（園芸サービス業を除く）</t>
  </si>
  <si>
    <t>12_木材・木製品製造業_家具を除く</t>
    <phoneticPr fontId="1"/>
  </si>
  <si>
    <t>36_水道業</t>
  </si>
  <si>
    <t>40_インターネット附随サービス業</t>
  </si>
  <si>
    <t>45_水運業</t>
  </si>
  <si>
    <t>53_建築材料・鉱物・金属材料等卸売業</t>
    <phoneticPr fontId="1"/>
  </si>
  <si>
    <t>65_金融商品取引業・商品先物取引業</t>
    <phoneticPr fontId="1"/>
  </si>
  <si>
    <t>74_技術サービス業_他に分類されないもの</t>
  </si>
  <si>
    <t>91_職業紹介・労働者派遣業</t>
  </si>
  <si>
    <t>014_園芸サービス業</t>
  </si>
  <si>
    <t>13_家具・装備品製造業</t>
  </si>
  <si>
    <t>41_映像・音声・文字情報制作業</t>
  </si>
  <si>
    <t>46_航空運輸業</t>
  </si>
  <si>
    <t>54_機械器具卸売業</t>
  </si>
  <si>
    <t>66_補助的金融業等</t>
  </si>
  <si>
    <t>92_その他の事業サービス業</t>
  </si>
  <si>
    <t>020_管理，補助的経済活動を行う事業所</t>
  </si>
  <si>
    <t>14_パルプ・紙・紙加工品製造業</t>
  </si>
  <si>
    <t>47_倉庫業</t>
  </si>
  <si>
    <t>55_その他の卸売業</t>
  </si>
  <si>
    <t>67_保険業_保険媒介代理業・保険サービス業を含む</t>
    <phoneticPr fontId="1"/>
  </si>
  <si>
    <t>93_政治・経済・文化団体</t>
  </si>
  <si>
    <t>021_育林業</t>
  </si>
  <si>
    <t>15_印刷・同関連業</t>
  </si>
  <si>
    <t>48_運輸に附帯するサービス業</t>
  </si>
  <si>
    <t>56_各種商品小売業</t>
  </si>
  <si>
    <t>94_宗教</t>
  </si>
  <si>
    <t>022_素材生産業</t>
  </si>
  <si>
    <t>16_化学工業</t>
  </si>
  <si>
    <t>49_郵便業_信書便事業を含む</t>
    <phoneticPr fontId="1"/>
  </si>
  <si>
    <t>57_織物・衣服・身の回り品小売業</t>
  </si>
  <si>
    <t>95_その他のサービス業</t>
  </si>
  <si>
    <t>023_特用林産物生産業（きのこ類の栽培を除く）</t>
  </si>
  <si>
    <t>17_石油製品・石炭製品製造業</t>
  </si>
  <si>
    <t>58_飲食料品小売業</t>
  </si>
  <si>
    <t>96_外国公務</t>
  </si>
  <si>
    <t>024_林業サービス業</t>
  </si>
  <si>
    <t>18_プラスチック製品製造業_別掲を除く</t>
    <phoneticPr fontId="1"/>
  </si>
  <si>
    <t>59_機械器具小売業</t>
  </si>
  <si>
    <t>029_その他の林業</t>
  </si>
  <si>
    <t>19_ゴム製品製造業</t>
  </si>
  <si>
    <t>60_その他の小売業</t>
  </si>
  <si>
    <t>B_漁業</t>
  </si>
  <si>
    <t>03_漁業（水産養殖業を除く）</t>
  </si>
  <si>
    <t>030_管理，補助的経済活動を行う事業所</t>
  </si>
  <si>
    <t>20_なめし革・同製品・毛皮製造業</t>
  </si>
  <si>
    <t>61_無店舗小売業</t>
  </si>
  <si>
    <t>031_海面漁業</t>
  </si>
  <si>
    <t>21_窯業・土石製品製造業</t>
  </si>
  <si>
    <t>032_内水面漁業</t>
  </si>
  <si>
    <t>22_鉄鋼業</t>
  </si>
  <si>
    <t>040_管理，補助的経済活動を行う事業所</t>
  </si>
  <si>
    <t>23_非鉄金属製造業</t>
  </si>
  <si>
    <t>041_海面養殖業</t>
  </si>
  <si>
    <t>24_金属製品製造業</t>
  </si>
  <si>
    <t>042_内水面養殖業</t>
  </si>
  <si>
    <t>25_はん用機械器具製造業</t>
  </si>
  <si>
    <t>05_鉱業・採石業・砂利採取業</t>
  </si>
  <si>
    <t>050_管理，補助的経済活動を行う事業所</t>
  </si>
  <si>
    <t>26_生産用機械器具製造業</t>
  </si>
  <si>
    <t>051_金属鉱業</t>
  </si>
  <si>
    <t>27_業務用機械器具製造業</t>
  </si>
  <si>
    <t>052_石炭・亜炭鉱業</t>
  </si>
  <si>
    <t>28_電子部品・デバイス・電子回路製造業</t>
  </si>
  <si>
    <t>053_原油・天然ガス鉱業</t>
  </si>
  <si>
    <t>29_電気機械器具製造業</t>
  </si>
  <si>
    <t>054_採石業，砂・砂利・玉石採取業</t>
  </si>
  <si>
    <t>30_情報通信機械器具製造業</t>
  </si>
  <si>
    <t>055_窯業原料用鉱物鉱業（耐火物・陶磁器・ガラス・セメント原料用に限る）</t>
  </si>
  <si>
    <t>31_輸送用機械器具製造業</t>
  </si>
  <si>
    <t>059_その他の鉱業</t>
  </si>
  <si>
    <t>32_その他の製造業</t>
  </si>
  <si>
    <t>D_建設業</t>
  </si>
  <si>
    <t>060_管理，補助的経済活動を行う事業所</t>
  </si>
  <si>
    <t>061_一般土木建築工事業</t>
  </si>
  <si>
    <t>062_土木工事業（舗装工事業を除く）</t>
  </si>
  <si>
    <t>063_舗装工事業</t>
  </si>
  <si>
    <t>064_建築工事業（木造建築工事業を除く）</t>
  </si>
  <si>
    <t>065_木造建築工事業</t>
  </si>
  <si>
    <t>066_建築リフォーム工事業</t>
  </si>
  <si>
    <t>C_鉱業・採石業・砂利採取業</t>
  </si>
  <si>
    <t>E_製造業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</si>
  <si>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</si>
  <si>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</si>
  <si>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</si>
  <si>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</si>
  <si>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</si>
  <si>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</si>
  <si>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</si>
  <si>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</si>
  <si>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</si>
  <si>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</si>
  <si>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</si>
  <si>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</si>
  <si>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</si>
  <si>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</si>
  <si>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</si>
  <si>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07_職別工事業（設備工事業を除く）</t>
  </si>
  <si>
    <t>070_管理，補助的経済活動を行う事業所</t>
  </si>
  <si>
    <t>03_漁業_水産養殖業を除く</t>
  </si>
  <si>
    <t>18_プラスチック製品製造業_別掲を除く</t>
  </si>
  <si>
    <t>49_郵便業_信書便事業を含む</t>
  </si>
  <si>
    <t>071_大工工事業</t>
  </si>
  <si>
    <t>010_管理，補助的経済活動を行う事業所</t>
    <phoneticPr fontId="1"/>
  </si>
  <si>
    <t>080_管理，補助的経済活動を行う事業所</t>
  </si>
  <si>
    <t>090_管理，補助的経済活動を行う事業所</t>
  </si>
  <si>
    <t>100_管理，補助的経済活動を行う事業所</t>
  </si>
  <si>
    <t>110_管理，補助的経済活動を行う事業所</t>
  </si>
  <si>
    <t>120_管理，補助的経済活動を行う事業所</t>
  </si>
  <si>
    <t>130_管理，補助的経済活動を行う事業所</t>
  </si>
  <si>
    <t>140_管理，補助的経済活動を行う事業所</t>
  </si>
  <si>
    <t>150_管理，補助的経済活動を行う事業所</t>
  </si>
  <si>
    <t>160_管理，補助的経済活動を行う事業所</t>
  </si>
  <si>
    <t>170_管理，補助的経済活動を行う事業所</t>
  </si>
  <si>
    <t>180_管理，補助的経済活動を行う事業所</t>
  </si>
  <si>
    <t>190_管理，補助的経済活動を行う事業所</t>
  </si>
  <si>
    <t>200_管理，補助的経済活動を行う事業所</t>
  </si>
  <si>
    <t>210_管理，補助的経済活動を行う事業所</t>
  </si>
  <si>
    <t>220_管理，補助的経済活動を行う事業所</t>
  </si>
  <si>
    <t>230_管理，補助的経済活動を行う事業所</t>
  </si>
  <si>
    <t>240_管理，補助的経済活動を行う事業所</t>
  </si>
  <si>
    <t>250_管理，補助的経済活動を行う事業所</t>
  </si>
  <si>
    <t>260_管理，補助的経済活動を行う事業所</t>
  </si>
  <si>
    <t>270_管理，補助的経済活動を行う事業所</t>
  </si>
  <si>
    <t>280_管理，補助的経済活動を行う事業所</t>
  </si>
  <si>
    <t>290_管理，補助的経済活動を行う事業所</t>
  </si>
  <si>
    <t>300_管理，補助的経済活動を行う事業所</t>
  </si>
  <si>
    <t>310_管理，補助的経済活動を行う事業所</t>
  </si>
  <si>
    <t>320_管理，補助的経済活動を行う事業所</t>
  </si>
  <si>
    <t>330_管理，補助的経済活動を行う事業所</t>
  </si>
  <si>
    <t>340_管理，補助的経済活動を行う事業所</t>
  </si>
  <si>
    <t>350_管理，補助的経済活動を行う事業所</t>
  </si>
  <si>
    <t>360_管理，補助的経済活動を行う事業所</t>
  </si>
  <si>
    <t>370_管理，補助的経済活動を行う事業所</t>
  </si>
  <si>
    <t>380_管理，補助的経済活動を行う事業所</t>
  </si>
  <si>
    <t>390_管理，補助的経済活動を行う事業所</t>
  </si>
  <si>
    <t>400_管理，補助的経済活動を行う事業所</t>
  </si>
  <si>
    <t>410_管理，補助的経済活動を行う事業所</t>
  </si>
  <si>
    <t>420_管理，補助的経済活動を行う事業所</t>
  </si>
  <si>
    <t>430_管理，補助的経済活動を行う事業所</t>
  </si>
  <si>
    <t>440_管理，補助的経済活動を行う事業所</t>
  </si>
  <si>
    <t>450_管理，補助的経済活動を行う事業所</t>
  </si>
  <si>
    <t>460_管理，補助的経済活動を行う事業所</t>
  </si>
  <si>
    <t>470_管理，補助的経済活動を行う事業所</t>
  </si>
  <si>
    <t>480_管理，補助的経済活動を行う事業所</t>
  </si>
  <si>
    <t>490_管理，補助的経済活動を行う事業所</t>
  </si>
  <si>
    <t>500_管理，補助的経済活動を行う事業所</t>
  </si>
  <si>
    <t>510_管理，補助的経済活動を行う事業所</t>
  </si>
  <si>
    <t>520_管理，補助的経済活動を行う事業所</t>
  </si>
  <si>
    <t>530_管理，補助的経済活動を行う事業所</t>
  </si>
  <si>
    <t>540_管理，補助的経済活動を行う事業所</t>
  </si>
  <si>
    <t>550_管理，補助的経済活動を行う事業所</t>
  </si>
  <si>
    <t>560_管理，補助的経済活動を行う事業所</t>
  </si>
  <si>
    <t>570_管理，補助的経済活動を行う事業所</t>
  </si>
  <si>
    <t>580_管理，補助的経済活動を行う事業所</t>
  </si>
  <si>
    <t>590_管理，補助的経済活動を行う事業所</t>
  </si>
  <si>
    <t>600_管理，補助的経済活動を行う事業所</t>
  </si>
  <si>
    <t>610_管理，補助的経済活動を行う事業所</t>
  </si>
  <si>
    <t>620_管理，補助的経済活動を行う事業所</t>
  </si>
  <si>
    <t>630_管理，補助的経済活動を行う事業所</t>
  </si>
  <si>
    <t>640_管理，補助的経済活動を行う事業所</t>
  </si>
  <si>
    <t>650_管理，補助的経済活動を行う事業所</t>
  </si>
  <si>
    <t>660_管理，補助的経済活動を行う事業所</t>
  </si>
  <si>
    <t>670_管理，補助的経済活動を行う事業所</t>
  </si>
  <si>
    <t>680_管理，補助的経済活動を行う事業所</t>
  </si>
  <si>
    <t>690_管理，補助的経済活動を行う事業所</t>
  </si>
  <si>
    <t>700_管理，補助的経済活動を行う事業所</t>
  </si>
  <si>
    <t>710_管理，補助的経済活動を行う事業所</t>
  </si>
  <si>
    <t>720_管理，補助的経済活動を行う事業所</t>
  </si>
  <si>
    <t>730_管理，補助的経済活動を行う事業所</t>
  </si>
  <si>
    <t>740_管理，補助的経済活動を行う事業所</t>
  </si>
  <si>
    <t>750_管理，補助的経済活動を行う事業所</t>
  </si>
  <si>
    <t>760_管理，補助的経済活動を行う事業所</t>
  </si>
  <si>
    <t>770_管理，補助的経済活動を行う事業所</t>
  </si>
  <si>
    <t>780_管理，補助的経済活動を行う事業所</t>
  </si>
  <si>
    <t>790_管理，補助的経済活動を行う事業所</t>
  </si>
  <si>
    <t>800_管理，補助的経済活動を行う事業所</t>
  </si>
  <si>
    <t>810_管理，補助的経済活動を行う事業所</t>
  </si>
  <si>
    <t>820_管理，補助的経済活動を行う事業所</t>
  </si>
  <si>
    <t>830_管理，補助的経済活動を行う事業所</t>
  </si>
  <si>
    <t>840_管理，補助的経済活動を行う事業所</t>
  </si>
  <si>
    <t>850_管理，補助的経済活動を行う事業所</t>
  </si>
  <si>
    <t>860_管理，補助的経済活動を行う事業所</t>
  </si>
  <si>
    <t>870_管理，補助的経済活動を行う事業所</t>
  </si>
  <si>
    <t>880_管理，補助的経済活動を行う事業所</t>
  </si>
  <si>
    <t>890_管理，補助的経済活動を行う事業所</t>
  </si>
  <si>
    <t>900_管理，補助的経済活動を行う事業所</t>
  </si>
  <si>
    <t>910_管理，補助的経済活動を行う事業所</t>
  </si>
  <si>
    <t>920_管理，補助的経済活動を行う事業所</t>
  </si>
  <si>
    <t>931_経済団体</t>
  </si>
  <si>
    <t>941_神道系宗教</t>
  </si>
  <si>
    <t>950_管理，補助的経済活動を行う事業所</t>
    <phoneticPr fontId="1"/>
  </si>
  <si>
    <t>961_外国公館</t>
    <rPh sb="4" eb="8">
      <t>ガイコクコウカン</t>
    </rPh>
    <phoneticPr fontId="1"/>
  </si>
  <si>
    <t>971_立法機関</t>
  </si>
  <si>
    <t>981_都道府県の機関</t>
    <phoneticPr fontId="1"/>
  </si>
  <si>
    <t>999_分類不能の産業</t>
    <rPh sb="4" eb="6">
      <t>ブンルイ</t>
    </rPh>
    <rPh sb="6" eb="8">
      <t>フノウ</t>
    </rPh>
    <rPh sb="9" eb="11">
      <t>サンギョウ</t>
    </rPh>
    <phoneticPr fontId="1"/>
  </si>
  <si>
    <t>072_とび・土工・コンクリート工事業</t>
  </si>
  <si>
    <t>081_電気工事業</t>
  </si>
  <si>
    <t>091_畜産食料品製造業</t>
  </si>
  <si>
    <t>101_清涼飲料製造業</t>
  </si>
  <si>
    <t>111_製糸業，紡績業，化学繊維・ねん糸等製造業</t>
  </si>
  <si>
    <t>121_製材業，木製品製造業</t>
  </si>
  <si>
    <t>131_家具製造業</t>
  </si>
  <si>
    <t>141_パルプ製造業</t>
  </si>
  <si>
    <t>151_印刷業</t>
  </si>
  <si>
    <t>161_化学肥料製造業</t>
  </si>
  <si>
    <t>171_石油精製業</t>
  </si>
  <si>
    <t>181_プラスチック板・棒・管・継手・異形押出製品製造業</t>
  </si>
  <si>
    <t>191_タイヤ・チューブ製造業</t>
  </si>
  <si>
    <t>201_なめし革製造業</t>
  </si>
  <si>
    <t>211_ガラス・同製品製造業</t>
  </si>
  <si>
    <t>221_製鉄業</t>
  </si>
  <si>
    <t>231_非鉄金属第１次製錬・精製業</t>
  </si>
  <si>
    <t>241_ブリキ缶・その他のめっき板等製品製造業</t>
  </si>
  <si>
    <t>251_ボイラ・原動機製造業</t>
  </si>
  <si>
    <t>261_農業用機械製造業（農業用器具を除く）</t>
  </si>
  <si>
    <t>271_事務用機械器具製造業</t>
  </si>
  <si>
    <t>281_電子デバイス製造業</t>
  </si>
  <si>
    <t>291_発電用・送電用・配電用電気機械器具製造業</t>
  </si>
  <si>
    <t>301_通信機械器具・同関連機械器具製造業</t>
  </si>
  <si>
    <t>311_自動車・同附属品製造業</t>
  </si>
  <si>
    <t>321_貴金属・宝石製品製造業</t>
  </si>
  <si>
    <t>331_電気業</t>
  </si>
  <si>
    <t>341_ガス業</t>
  </si>
  <si>
    <t>351_熱供給業</t>
  </si>
  <si>
    <t>361_上水道業</t>
  </si>
  <si>
    <t>371_固定電気通信業</t>
  </si>
  <si>
    <t>381_公共放送業（有線放送業を除く）</t>
  </si>
  <si>
    <t>391_ソフトウェア業</t>
  </si>
  <si>
    <t>401_インターネット附随サービス業</t>
  </si>
  <si>
    <t>411_映像情報制作・配給業</t>
  </si>
  <si>
    <t>421_鉄道業</t>
  </si>
  <si>
    <t>431_一般乗合旅客自動車運送業</t>
  </si>
  <si>
    <t>441_一般貨物自動車運送業</t>
  </si>
  <si>
    <t>451_外航海運業</t>
  </si>
  <si>
    <t>461_航空運送業</t>
  </si>
  <si>
    <t>471_倉庫業（冷蔵倉庫業を除く）</t>
  </si>
  <si>
    <t>481_港湾運送業</t>
  </si>
  <si>
    <t>491_郵便業（信書便事業を含む）</t>
  </si>
  <si>
    <t>501_各種商品卸売業</t>
  </si>
  <si>
    <t>511_繊維品卸売業（衣服，身の回り品を除く）</t>
  </si>
  <si>
    <t>521_農畜産物・水産物卸売業</t>
  </si>
  <si>
    <t>531_建築材料卸売業</t>
  </si>
  <si>
    <t>541_産業機械器具卸売業</t>
  </si>
  <si>
    <t>551_家具・建具・じゅう器等卸売業</t>
  </si>
  <si>
    <t>561_百貨店</t>
    <phoneticPr fontId="1"/>
  </si>
  <si>
    <t>571_呉服・服地・寝具小売業</t>
  </si>
  <si>
    <t>581_各種食料品小売業</t>
  </si>
  <si>
    <t>591_自動車小売業</t>
  </si>
  <si>
    <t>601_家具・建具・畳小売業</t>
  </si>
  <si>
    <t>611_通信販売・訪問販売小売業</t>
  </si>
  <si>
    <t>621_中央銀行</t>
  </si>
  <si>
    <t>631_中小企業等金融業</t>
  </si>
  <si>
    <t>641_貸金業</t>
  </si>
  <si>
    <t>651_金融商品取引業</t>
  </si>
  <si>
    <t>661_補助的金融業，金融附帯業</t>
  </si>
  <si>
    <t>671_生命保険業</t>
  </si>
  <si>
    <t>681_建物売買業，土地売買業</t>
  </si>
  <si>
    <t>691_不動産賃貸業（貸家業，貸間業を除く）</t>
  </si>
  <si>
    <t>701_各種物品賃貸業</t>
  </si>
  <si>
    <t>711_自然科学研究所</t>
  </si>
  <si>
    <t>721_法律事務所，特許事務所</t>
  </si>
  <si>
    <t>731_広告業</t>
  </si>
  <si>
    <t>741_獣医業</t>
  </si>
  <si>
    <t>751_旅館，ホテル</t>
  </si>
  <si>
    <t>761_食堂，レストラン（専門料理店を除く）</t>
  </si>
  <si>
    <t>771_持ち帰り飲食サービス業</t>
  </si>
  <si>
    <t>781_洗濯業</t>
  </si>
  <si>
    <t>791_旅行業</t>
  </si>
  <si>
    <t>801_映画館</t>
  </si>
  <si>
    <t>811_幼稚園</t>
  </si>
  <si>
    <t>821_社会教育</t>
  </si>
  <si>
    <t>831_病院</t>
  </si>
  <si>
    <t>841_保健所</t>
  </si>
  <si>
    <t>851_社会保険事業団体</t>
  </si>
  <si>
    <t>861_郵便局</t>
  </si>
  <si>
    <t>871_農林水産業協同組合（他に分類されないもの）</t>
  </si>
  <si>
    <t>881_一般廃棄物処理業</t>
  </si>
  <si>
    <t>891_自動車整備業</t>
  </si>
  <si>
    <t>901_機械修理業（電気機械器具を除く）</t>
  </si>
  <si>
    <t>911_職業紹介業</t>
  </si>
  <si>
    <t>921_速記・ワープロ入力・複写業</t>
  </si>
  <si>
    <t>932_労働団体</t>
  </si>
  <si>
    <t>942_仏教系宗教</t>
  </si>
  <si>
    <t>951_集会場</t>
  </si>
  <si>
    <t>969_その他の外国公務</t>
  </si>
  <si>
    <t>972_司法機関</t>
  </si>
  <si>
    <t>982_市町村の機関</t>
    <phoneticPr fontId="1"/>
  </si>
  <si>
    <t>073_鉄骨・鉄筋工事業</t>
  </si>
  <si>
    <t>082_電気通信・信号装置工事業</t>
  </si>
  <si>
    <t>092_水産食料品製造業</t>
  </si>
  <si>
    <t>102_酒類製造業</t>
  </si>
  <si>
    <t>112_織物業</t>
  </si>
  <si>
    <t>122_造作材・合板・建築用組立材料製造業</t>
  </si>
  <si>
    <t>132_宗教用具製造業</t>
  </si>
  <si>
    <t>142_紙製造業</t>
  </si>
  <si>
    <t>152_製版業</t>
  </si>
  <si>
    <t>162_無機化学工業製品製造業</t>
  </si>
  <si>
    <t>172_潤滑油・グリース製造業（石油精製によらないもの）</t>
    <phoneticPr fontId="1"/>
  </si>
  <si>
    <t>182_プラスチックフィルム・シート・床材・合成皮革製造業</t>
  </si>
  <si>
    <t>192_ゴム製・プラスチック製履物・同附属品製造業</t>
  </si>
  <si>
    <t>202_工業用革製品製造業（手袋を除く）</t>
  </si>
  <si>
    <t>212_セメント・同製品製造業</t>
  </si>
  <si>
    <t>222_製鋼・製鋼圧延業</t>
  </si>
  <si>
    <t>232_非鉄金属第２次製錬・精製業（非鉄金属合金製造業を含む）</t>
  </si>
  <si>
    <t>242_洋食器・刃物・手道具・金物類製造業</t>
  </si>
  <si>
    <t>252_ポンプ・圧縮機器製造業</t>
  </si>
  <si>
    <t>262_建設機械・鉱山機械製造業</t>
  </si>
  <si>
    <t>272_サービス用・娯楽用機械器具製造業</t>
  </si>
  <si>
    <t>282_電子部品製造業</t>
  </si>
  <si>
    <t>292_産業用電気機械器具製造業</t>
  </si>
  <si>
    <t>302_映像・音響機械器具製造業</t>
  </si>
  <si>
    <t>312_鉄道車両・同部分品製造業</t>
  </si>
  <si>
    <t>322_装身具・装飾品・ボタン・同関連品製造業（貴金属・宝石製を除く）</t>
  </si>
  <si>
    <t>362_工業用水道業</t>
  </si>
  <si>
    <t>372_移動電気通信業</t>
  </si>
  <si>
    <t>382_民間放送業（有線放送業を除く）</t>
  </si>
  <si>
    <t>392_情報処理・提供サービス業</t>
  </si>
  <si>
    <t>412_音声情報制作業</t>
  </si>
  <si>
    <t>432_一般乗用旅客自動車運送業</t>
  </si>
  <si>
    <t>442_特定貨物自動車運送業</t>
  </si>
  <si>
    <t>452_沿海海運業</t>
  </si>
  <si>
    <t>462_航空機使用業（航空運送業を除く）</t>
  </si>
  <si>
    <t>472_冷蔵倉庫業</t>
  </si>
  <si>
    <t>482_貨物運送取扱業（集配利用運送業を除く）</t>
  </si>
  <si>
    <t>512_衣服卸売業</t>
  </si>
  <si>
    <t>522_食料・飲料卸売業</t>
  </si>
  <si>
    <t>532_化学製品卸売業</t>
  </si>
  <si>
    <t>542_自動車卸売業</t>
  </si>
  <si>
    <t>552_医薬品・化粧品等卸売業</t>
  </si>
  <si>
    <t>562_総合スーパーマーケット</t>
    <rPh sb="4" eb="6">
      <t>ソウゴウ</t>
    </rPh>
    <phoneticPr fontId="1"/>
  </si>
  <si>
    <t>572_男子服小売業</t>
  </si>
  <si>
    <t>582_野菜・果実小売業</t>
  </si>
  <si>
    <t>592_自転車小売業</t>
  </si>
  <si>
    <t>602_じゅう器小売業</t>
  </si>
  <si>
    <t>612_自動販売機による小売業</t>
  </si>
  <si>
    <t>622_銀行（中央銀行を除く）</t>
  </si>
  <si>
    <t>632_農林水産金融業</t>
  </si>
  <si>
    <t>642_質屋</t>
  </si>
  <si>
    <t>652_商品先物取引業，商品投資顧問業</t>
  </si>
  <si>
    <t>662_信託業</t>
  </si>
  <si>
    <t>672_損害保険業</t>
  </si>
  <si>
    <t>682_不動産代理業・仲介業</t>
  </si>
  <si>
    <t>692_貸家業，貸間業</t>
  </si>
  <si>
    <t>702_産業用機械器具賃貸業</t>
  </si>
  <si>
    <t>712_人文・社会科学研究所</t>
  </si>
  <si>
    <t>722_公証人役場，司法書士事務所，土地家屋調査士事務所</t>
  </si>
  <si>
    <t>742_土木建築サービス業</t>
  </si>
  <si>
    <t>752_簡易宿所</t>
  </si>
  <si>
    <t>762_専門料理店</t>
  </si>
  <si>
    <t>772_配達飲食サービス業</t>
  </si>
  <si>
    <t>782_理容業</t>
  </si>
  <si>
    <t>793_衣服裁縫修理業</t>
  </si>
  <si>
    <t>802_興行場（別掲を除く），興行団</t>
  </si>
  <si>
    <t>812_小学校</t>
  </si>
  <si>
    <t>822_職業・教育支援施設</t>
  </si>
  <si>
    <t>832_一般診療所</t>
  </si>
  <si>
    <t>842_健康相談施設</t>
  </si>
  <si>
    <t>852_福祉事務所</t>
  </si>
  <si>
    <t>862_郵便局受託業</t>
  </si>
  <si>
    <t>872_事業協同組合（他に分類されないもの）</t>
  </si>
  <si>
    <t>882_産業廃棄物処理業</t>
  </si>
  <si>
    <t>902_電気機械器具修理業</t>
  </si>
  <si>
    <t>912_労働者派遣業</t>
  </si>
  <si>
    <t>922_建物等維持管理業</t>
    <rPh sb="6" eb="7">
      <t>トウ</t>
    </rPh>
    <rPh sb="7" eb="11">
      <t>イジカンリ</t>
    </rPh>
    <rPh sb="11" eb="12">
      <t>ギョウ</t>
    </rPh>
    <phoneticPr fontId="1"/>
  </si>
  <si>
    <t>933_学術・文化団体</t>
  </si>
  <si>
    <t>943_キリスト教系宗教</t>
  </si>
  <si>
    <t>952_と畜場</t>
  </si>
  <si>
    <t>973_行政機関</t>
  </si>
  <si>
    <t>074_石工・れんが・タイル・ブロック工事業</t>
  </si>
  <si>
    <t>083_管工事業（さく井工事業を除く）</t>
  </si>
  <si>
    <t>093_野菜缶詰・果実缶詰・農産保存食料品製造業</t>
  </si>
  <si>
    <t>103_茶・コーヒー製造業（清涼飲料を除く）</t>
  </si>
  <si>
    <t>113_ニット生地製造業</t>
  </si>
  <si>
    <t>123_木製容器製造業（竹，とうを含む）</t>
  </si>
  <si>
    <t>133_建具製造業</t>
  </si>
  <si>
    <t>143_加工紙製造業</t>
  </si>
  <si>
    <t>153_製本業，印刷物加工業</t>
  </si>
  <si>
    <t>163_有機化学工業製品製造業</t>
  </si>
  <si>
    <t>173_コークス製造業</t>
  </si>
  <si>
    <t>183_工業用プラスチック製品製造業</t>
  </si>
  <si>
    <t>193_ゴムベルト・ゴムホース・工業用ゴム製品製造業</t>
  </si>
  <si>
    <t>203_革製履物用材料・同附属品製造業</t>
  </si>
  <si>
    <t>213_建設用粘土製品製造業（陶磁器製を除く）</t>
  </si>
  <si>
    <t>223_製鋼を行わない鋼材製造業（表面処理鋼材を除く）</t>
  </si>
  <si>
    <t>233_非鉄金属・同合金圧延業（抽伸，押出しを含む）</t>
  </si>
  <si>
    <t>243_暖房・調理等装置，配管工事用附属品製造業</t>
  </si>
  <si>
    <t>253_一般産業用機械・装置製造業</t>
  </si>
  <si>
    <t>263_繊維機械製造業</t>
  </si>
  <si>
    <t>273_計量器・測定器・分析機器・試験機・測量機械器具・理化学機械器具製造業</t>
  </si>
  <si>
    <t>283_記録メディア製造業</t>
  </si>
  <si>
    <t>293_民生用電気機械器具製造業</t>
  </si>
  <si>
    <t>303_電子計算機・同附属装置製造業</t>
  </si>
  <si>
    <t>313_船舶製造・修理業，舶用機関製造業</t>
  </si>
  <si>
    <t>323_時計・同部分品製造業</t>
  </si>
  <si>
    <t>363_下水道業</t>
  </si>
  <si>
    <t>373_電気通信に附帯するサービス業</t>
  </si>
  <si>
    <t>383_有線放送業</t>
  </si>
  <si>
    <t>413_新聞業</t>
  </si>
  <si>
    <t>433_一般貸切旅客自動車運送業</t>
  </si>
  <si>
    <t>443_貨物軽自動車運送業</t>
  </si>
  <si>
    <t>453_内陸水運業</t>
  </si>
  <si>
    <t>483_運送代理店</t>
  </si>
  <si>
    <t>513_身の回り品卸売業</t>
  </si>
  <si>
    <t>533_石油・鉱物卸売業</t>
  </si>
  <si>
    <t>543_電気機械器具卸売業</t>
  </si>
  <si>
    <t>553_紙・紙製品卸売業</t>
  </si>
  <si>
    <t>563_コンビニエンスストア</t>
    <phoneticPr fontId="1"/>
  </si>
  <si>
    <t>573_婦人・子供服小売業</t>
  </si>
  <si>
    <t>583_食肉小売業</t>
  </si>
  <si>
    <t>593_機械器具小売業（自動車，自転車を除く）</t>
  </si>
  <si>
    <t>603_医薬品・化粧品小売業</t>
  </si>
  <si>
    <t>619_その他の無店舗小売業</t>
  </si>
  <si>
    <t>643_クレジットカード業，割賦金融業</t>
  </si>
  <si>
    <t>663_金融代理業</t>
  </si>
  <si>
    <t>673_共済事業，少額短期保険業</t>
  </si>
  <si>
    <t>693_駐車場業</t>
  </si>
  <si>
    <t>703_事務用機械器具賃貸業</t>
  </si>
  <si>
    <t>723_行政書士事務所</t>
  </si>
  <si>
    <t>743_機械設計業</t>
  </si>
  <si>
    <t>753_下宿業</t>
  </si>
  <si>
    <t>763_そば・うどん店</t>
  </si>
  <si>
    <t>773_施設給食業</t>
    <rPh sb="4" eb="6">
      <t>シセツ</t>
    </rPh>
    <rPh sb="6" eb="8">
      <t>キュウショク</t>
    </rPh>
    <rPh sb="8" eb="9">
      <t>ギョウ</t>
    </rPh>
    <phoneticPr fontId="1"/>
  </si>
  <si>
    <t>783_美容業</t>
  </si>
  <si>
    <t>794_物品預り業</t>
  </si>
  <si>
    <t>803_競輪・競馬等の競走場，競技団</t>
  </si>
  <si>
    <t>813_中学校、義務教育学校</t>
    <rPh sb="8" eb="14">
      <t>ギムキョウイクガッコウ</t>
    </rPh>
    <phoneticPr fontId="1"/>
  </si>
  <si>
    <t>823_学習塾</t>
  </si>
  <si>
    <t>833_歯科診療所</t>
  </si>
  <si>
    <t>849_その他の保健衛生</t>
  </si>
  <si>
    <t>853_児童福祉事業</t>
  </si>
  <si>
    <t>889_その他の廃棄物処理業</t>
  </si>
  <si>
    <t>903_表具業</t>
  </si>
  <si>
    <t>923_警備業</t>
  </si>
  <si>
    <t>934_政治団体</t>
  </si>
  <si>
    <t>949_その他の宗教</t>
  </si>
  <si>
    <t>959_他に分類されないサービス業</t>
  </si>
  <si>
    <t>075_左官工事業</t>
  </si>
  <si>
    <t>084_機械器具設置工事業</t>
  </si>
  <si>
    <t>094_調味料製造業</t>
  </si>
  <si>
    <t>104_製氷業</t>
  </si>
  <si>
    <t>114_染色整理業</t>
  </si>
  <si>
    <t>129_その他の木製品製造業（竹，とうを含む）</t>
  </si>
  <si>
    <t>139_その他の家具・装備品製造業</t>
  </si>
  <si>
    <t>144_紙製品製造業</t>
  </si>
  <si>
    <t>159_印刷関連サービス業</t>
  </si>
  <si>
    <t>164_油脂加工製品・石けん・合成洗剤・界面活性剤・塗料製造業</t>
  </si>
  <si>
    <t>174_舗装材料製造業</t>
  </si>
  <si>
    <t>184_発泡・強化プラスチック製品製造業</t>
  </si>
  <si>
    <t>199_その他のゴム製品製造業</t>
  </si>
  <si>
    <t>204_革製履物製造業</t>
  </si>
  <si>
    <t>214_陶磁器・同関連製品製造業</t>
  </si>
  <si>
    <t>224_表面処理鋼材製造業</t>
  </si>
  <si>
    <t>234_電線・ケーブル製造業</t>
  </si>
  <si>
    <t>244_建設用・建築用金属製品製造業（製缶板金業を含む）</t>
  </si>
  <si>
    <t>259_その他のはん用機械・同部分品製造業</t>
  </si>
  <si>
    <t>264_生活関連産業用機械製造業</t>
  </si>
  <si>
    <t>274_医療用機械器具・医療用品製造業</t>
  </si>
  <si>
    <t>284_電子回路製造業</t>
  </si>
  <si>
    <t>294_電球・電気照明器具製造業</t>
  </si>
  <si>
    <t>314_航空機・同附属品製造業</t>
  </si>
  <si>
    <t>324_楽器製造業</t>
  </si>
  <si>
    <t>414_出版業</t>
  </si>
  <si>
    <t>439_その他の道路旅客運送業</t>
  </si>
  <si>
    <t>444_集配利用運送業</t>
  </si>
  <si>
    <t>454_船舶貸渡業</t>
  </si>
  <si>
    <t>484_こん包業</t>
  </si>
  <si>
    <t>534_鉄鋼製品卸売業</t>
  </si>
  <si>
    <t>549_その他の機械器具卸売業</t>
  </si>
  <si>
    <t>559_他に分類されない卸売業</t>
  </si>
  <si>
    <t>564_ドラッグストア</t>
    <phoneticPr fontId="1"/>
  </si>
  <si>
    <t>574_靴・履物小売業</t>
  </si>
  <si>
    <t>584_鮮魚小売業</t>
  </si>
  <si>
    <t>604_農耕用品小売業</t>
  </si>
  <si>
    <t>649_その他の非預金信用機関</t>
  </si>
  <si>
    <t>674_保険媒介代理業</t>
  </si>
  <si>
    <t>694_不動産管理業</t>
  </si>
  <si>
    <t>704_自動車賃貸業</t>
  </si>
  <si>
    <t>724_公認会計士事務所，税理士事務所</t>
  </si>
  <si>
    <t>744_商品・非破壊検査業</t>
  </si>
  <si>
    <t>759_その他の宿泊業</t>
  </si>
  <si>
    <t>764_すし店</t>
  </si>
  <si>
    <t>784_一般公衆浴場業</t>
  </si>
  <si>
    <t>795_火葬・墓地管理業</t>
  </si>
  <si>
    <t>804_スポーツ施設提供業</t>
  </si>
  <si>
    <t>814_高等学校，中等教育学校</t>
  </si>
  <si>
    <t>824_教養・技能教授業</t>
  </si>
  <si>
    <t>834_助産・看護業</t>
  </si>
  <si>
    <t>854_老人福祉・介護事業</t>
  </si>
  <si>
    <t>909_その他の修理業</t>
  </si>
  <si>
    <t>929_他に分類されない事業サービス業</t>
  </si>
  <si>
    <t>939_他に分類されない非営利的団体</t>
  </si>
  <si>
    <t>076_板金・金物工事業</t>
  </si>
  <si>
    <t>089_その他の設備工事業</t>
  </si>
  <si>
    <t xml:space="preserve">095_砂糖・でんぷん糖類製造業 </t>
    <phoneticPr fontId="1"/>
  </si>
  <si>
    <t>105_たばこ製造業</t>
  </si>
  <si>
    <t>115_綱・網・レース・繊維粗製品製造業</t>
  </si>
  <si>
    <t>145_紙製容器製造業</t>
  </si>
  <si>
    <t>165_医薬品製造業</t>
  </si>
  <si>
    <t>179_その他の石油製品・石炭製品製造業</t>
  </si>
  <si>
    <t>185_プラスチック成形材料製造業（廃プラスチックを含む）</t>
  </si>
  <si>
    <t>205_革製手袋製造業</t>
  </si>
  <si>
    <t>215_耐火物製造業</t>
  </si>
  <si>
    <t>225_鉄素形材製造業</t>
  </si>
  <si>
    <t>235_非鉄金属素形材製造業</t>
  </si>
  <si>
    <t>245_金属素形材製品製造業</t>
  </si>
  <si>
    <t>265_基礎素材産業用機械製造業</t>
  </si>
  <si>
    <t>275_光学機械器具・レンズ製造業</t>
  </si>
  <si>
    <t>285_ユニット部品製造業</t>
  </si>
  <si>
    <t>295_電池製造業</t>
  </si>
  <si>
    <t>315_産業用運搬車両・同部分品・附属品製造業</t>
  </si>
  <si>
    <t>325_がん具・運動用具製造業</t>
  </si>
  <si>
    <t>415_広告制作業</t>
  </si>
  <si>
    <t>449_その他の道路貨物運送業</t>
  </si>
  <si>
    <t>485_運輸施設提供業</t>
  </si>
  <si>
    <t>535_非鉄金属卸売業</t>
  </si>
  <si>
    <t>565_ホームセンター</t>
    <phoneticPr fontId="1"/>
  </si>
  <si>
    <t>579_その他の織物・衣服・身の回り品小売業</t>
  </si>
  <si>
    <t>585_酒小売業</t>
  </si>
  <si>
    <t>605_燃料小売業</t>
  </si>
  <si>
    <t>675_保険サービス業</t>
  </si>
  <si>
    <t>705_スポーツ・娯楽用品賃貸業</t>
  </si>
  <si>
    <t>725_社会保険労務士事務所</t>
  </si>
  <si>
    <t>745_計量証明業</t>
  </si>
  <si>
    <t>765_酒場，ビヤホール</t>
  </si>
  <si>
    <t>785_その他の公衆浴場業</t>
  </si>
  <si>
    <t>796_冠婚葬祭業</t>
  </si>
  <si>
    <t>805_公園，遊園地</t>
  </si>
  <si>
    <t>815_特別支援学校</t>
  </si>
  <si>
    <t>829_他に分類されない教育，学習支援業</t>
  </si>
  <si>
    <t>835_施術業</t>
    <rPh sb="4" eb="6">
      <t>セジュツ</t>
    </rPh>
    <phoneticPr fontId="1"/>
  </si>
  <si>
    <t>855_障害者福祉事業</t>
  </si>
  <si>
    <t>077_塗装工事業</t>
  </si>
  <si>
    <t>096_精穀・製粉業</t>
  </si>
  <si>
    <t>106_飼料・有機質肥料製造業</t>
  </si>
  <si>
    <t>116_外衣・シャツ製造業（和式を除く）</t>
  </si>
  <si>
    <t>149_その他のパルプ・紙・紙加工品製造業</t>
  </si>
  <si>
    <t>166_化粧品・歯磨・その他の化粧用調整品製造業</t>
  </si>
  <si>
    <t>189_その他のプラスチック製品製造業</t>
  </si>
  <si>
    <t>206_かばん製造業</t>
  </si>
  <si>
    <t>216_炭素・黒鉛製品製造業</t>
  </si>
  <si>
    <t>229_その他の鉄鋼業</t>
  </si>
  <si>
    <t>239_その他の非鉄金属製造業</t>
  </si>
  <si>
    <t>246_金属被覆・彫刻業，熱処理業（ほうろう鉄器を除く）</t>
  </si>
  <si>
    <t>266_金属加工機械製造業</t>
  </si>
  <si>
    <t>276_武器製造業</t>
  </si>
  <si>
    <t>289_その他の電子部品・デバイス・電子回路製造業</t>
  </si>
  <si>
    <t>296_電子応用装置製造業</t>
  </si>
  <si>
    <t>319_その他の輸送用機械器具製造業</t>
  </si>
  <si>
    <t>326_ペン・鉛筆・絵画用品・その他の事務用品製造業</t>
  </si>
  <si>
    <t>416_映像・音声・文字情報制作に附帯するサービス業</t>
  </si>
  <si>
    <t>489_その他の運輸に附帯するサービス業</t>
  </si>
  <si>
    <t>536_再生資源卸売業</t>
  </si>
  <si>
    <t>566_均一価格店</t>
    <rPh sb="4" eb="6">
      <t>キンイツ</t>
    </rPh>
    <rPh sb="6" eb="8">
      <t>カカク</t>
    </rPh>
    <rPh sb="8" eb="9">
      <t>テン</t>
    </rPh>
    <phoneticPr fontId="1"/>
  </si>
  <si>
    <t>586_菓子・パン小売業</t>
  </si>
  <si>
    <t>606_書籍・文房具小売業</t>
  </si>
  <si>
    <t>709_その他の物品賃貸業</t>
  </si>
  <si>
    <t>726_デザイン業</t>
  </si>
  <si>
    <t>746_写真業</t>
  </si>
  <si>
    <t>766_バー，キャバレー，ナイトクラブ</t>
  </si>
  <si>
    <t>789_その他の洗濯・理容・美容・浴場業</t>
  </si>
  <si>
    <t>799_他に分類されない生活関連サービス業</t>
  </si>
  <si>
    <t>806_遊戯場</t>
  </si>
  <si>
    <t>816_高等教育機関</t>
  </si>
  <si>
    <t>836_医療に附帯するサービス業</t>
  </si>
  <si>
    <t>859_その他の社会保険・社会福祉・介護事業</t>
  </si>
  <si>
    <t>078_床・内装工事業</t>
  </si>
  <si>
    <t>097_パン・菓子製造業</t>
  </si>
  <si>
    <t>117_下着類製造業</t>
  </si>
  <si>
    <t>169_その他の化学工業</t>
  </si>
  <si>
    <t>207_袋物製造業</t>
  </si>
  <si>
    <t>217_研磨材・同製品製造業</t>
  </si>
  <si>
    <t>247_金属線製品製造業（ねじ類を除く）</t>
  </si>
  <si>
    <t>267_半導体・フラットパネルディスプレイ製造装置製造業</t>
  </si>
  <si>
    <t>297_電気計測器製造業</t>
  </si>
  <si>
    <t>327_漆器製造業</t>
  </si>
  <si>
    <t>569_その他の各種商品小売業</t>
    <rPh sb="6" eb="7">
      <t>タ</t>
    </rPh>
    <rPh sb="8" eb="12">
      <t>カクシュショウヒン</t>
    </rPh>
    <rPh sb="12" eb="15">
      <t>コウリギョウ</t>
    </rPh>
    <phoneticPr fontId="1"/>
  </si>
  <si>
    <t>589_その他の飲食料品小売業</t>
  </si>
  <si>
    <t>607_スポーツ用品・がん具・娯楽用品・楽器小売業</t>
  </si>
  <si>
    <t>727_著述・芸術家業</t>
  </si>
  <si>
    <t>749_その他の技術サービス業</t>
  </si>
  <si>
    <t>767_喫茶店</t>
  </si>
  <si>
    <t>809_その他の娯楽業</t>
  </si>
  <si>
    <t>817_専修学校，各種学校</t>
  </si>
  <si>
    <t>079_その他の職別工事業</t>
  </si>
  <si>
    <t>098_動植物油脂製造業</t>
  </si>
  <si>
    <t>118_和装製品・その他の衣服・繊維製身の回り品製造業</t>
  </si>
  <si>
    <t>208_毛皮製造業</t>
  </si>
  <si>
    <t>218_骨材・石工品等製造業</t>
  </si>
  <si>
    <t>248_ボルト・ナット・リベット・小ねじ・木ねじ等製造業</t>
  </si>
  <si>
    <t>269_その他の生産用機械・同部分品製造業</t>
  </si>
  <si>
    <t>299_その他の電気機械器具製造業</t>
  </si>
  <si>
    <t>328_畳等生活雑貨製品製造業</t>
  </si>
  <si>
    <t>608_写真機・時計・眼鏡小売業</t>
  </si>
  <si>
    <t>728_経営コンサルタント業，純粋持株会社</t>
  </si>
  <si>
    <t>769_その他の飲食店</t>
  </si>
  <si>
    <t>818_学校教育支援機関</t>
  </si>
  <si>
    <t>099_その他の食料品製造業</t>
  </si>
  <si>
    <t>119_その他の繊維製品製造業</t>
  </si>
  <si>
    <t>209_その他のなめし革製品製造業</t>
  </si>
  <si>
    <t>219_その他の窯業・土石製品製造業</t>
  </si>
  <si>
    <t>249_その他の金属製品製造業</t>
  </si>
  <si>
    <t>329_他に分類されない製造業</t>
  </si>
  <si>
    <t>609_他に分類されない小売業</t>
  </si>
  <si>
    <t>729_その他の専門サービス業</t>
  </si>
  <si>
    <t>819_幼保連携型認定こども園</t>
    <phoneticPr fontId="1"/>
  </si>
  <si>
    <t>12_木材・木製品製造業（家具を除く）</t>
  </si>
  <si>
    <t>18_プラスチック製品製造業（別掲を除く）</t>
  </si>
  <si>
    <t>49_郵便業（信書便事業を含む）</t>
  </si>
  <si>
    <t>53_建築材料・鉱物・金属材料等卸売業</t>
  </si>
  <si>
    <t>561_百貨店</t>
  </si>
  <si>
    <t>563_コンビニエンスストア</t>
  </si>
  <si>
    <t>564_ドラッグストア</t>
  </si>
  <si>
    <t>565_ホームセンター</t>
  </si>
  <si>
    <t>64_貸金業・クレジットカード業等非預金信用機関</t>
  </si>
  <si>
    <t>65_金融商品取引業・商品先物取引業</t>
  </si>
  <si>
    <t>67_保険業（保険媒介代理業・保険サービス業を含む）</t>
  </si>
  <si>
    <t>673_共済事業，少額短期保険業</t>
    <phoneticPr fontId="1"/>
  </si>
  <si>
    <t>72_専門サービス業（他に分類されないもの）</t>
  </si>
  <si>
    <t>74_技術サービス業（他に分類されないもの）</t>
  </si>
  <si>
    <t>773_施設給食業</t>
    <rPh sb="4" eb="8">
      <t>シセツキュウショク</t>
    </rPh>
    <rPh sb="8" eb="9">
      <t>ギョウ</t>
    </rPh>
    <phoneticPr fontId="1"/>
  </si>
  <si>
    <t>819_幼保連携型認定こども園</t>
  </si>
  <si>
    <t>82_その他の教育・学習支援業</t>
  </si>
  <si>
    <t>87_協同組合（他に分類されないもの）</t>
  </si>
  <si>
    <t>90_機械等修理業（別掲を除く）</t>
  </si>
  <si>
    <t>922_建物等維持管理業</t>
    <rPh sb="6" eb="7">
      <t>トウ</t>
    </rPh>
    <rPh sb="7" eb="12">
      <t>イジカンリギョウ</t>
    </rPh>
    <phoneticPr fontId="1"/>
  </si>
  <si>
    <t>950_管理，補助的経済活動を行う事業所</t>
  </si>
  <si>
    <t>96_外国公務</t>
    <rPh sb="3" eb="7">
      <t>ガイコクコウム</t>
    </rPh>
    <phoneticPr fontId="1"/>
  </si>
  <si>
    <t>961_外国公館</t>
    <phoneticPr fontId="1"/>
  </si>
  <si>
    <t>969_その他の外国公務</t>
    <phoneticPr fontId="1"/>
  </si>
  <si>
    <t>999_分類不能の産業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</si>
</sst>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quot;年&quot;&quot;度&quot;"/>
    <numFmt numFmtId="177" formatCode="[$-F800]dddd\,\ mmmm\ dd\,\ yyyy"/>
    <numFmt numFmtId="178" formatCode="yy/m&quot;月期&quot;"/>
    <numFmt numFmtId="179" formatCode="yyyy&quot;年&quot;m&quot;月期&quot;"/>
    <numFmt numFmtId="180" formatCode="yy&quot;年&quot;m&quot;月期&quot;"/>
    <numFmt numFmtId="181" formatCode="0_);[Red]\(0\)"/>
    <numFmt numFmtId="182" formatCode="#,##0.0;[Red]\-#,##0.0"/>
    <numFmt numFmtId="183" formatCode="\(#,##0\);[Red]\(\(\-#,##0\)"/>
  </numFmts>
  <fonts count="30">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color theme="0" tint="-4.9989318521683403E-2"/>
      <name val="游ゴシック"/>
      <family val="3"/>
      <charset val="128"/>
      <scheme val="minor"/>
    </font>
    <font>
      <b/>
      <sz val="10"/>
      <color theme="4"/>
      <name val="游ゴシック"/>
      <family val="3"/>
      <charset val="128"/>
      <scheme val="minor"/>
    </font>
    <font>
      <sz val="11"/>
      <color theme="0"/>
      <name val="游ゴシック"/>
      <family val="2"/>
      <charset val="128"/>
      <scheme val="minor"/>
    </font>
    <font>
      <sz val="11"/>
      <name val="ＭＳ Ｐゴシック"/>
      <family val="3"/>
      <charset val="128"/>
    </font>
    <font>
      <b/>
      <sz val="12"/>
      <name val="游ゴシック"/>
      <family val="3"/>
      <charset val="128"/>
      <scheme val="minor"/>
    </font>
    <font>
      <sz val="12"/>
      <name val="游ゴシック"/>
      <family val="3"/>
      <charset val="128"/>
      <scheme val="minor"/>
    </font>
    <font>
      <u/>
      <sz val="12"/>
      <name val="游ゴシック"/>
      <family val="3"/>
      <charset val="128"/>
      <scheme val="minor"/>
    </font>
    <font>
      <sz val="11"/>
      <color rgb="FFA5A5A5"/>
      <name val="游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
      <patternFill patternType="solid">
        <fgColor rgb="FFF2F2F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rgb="FFFFF2CC"/>
        <bgColor rgb="FF000000"/>
      </patternFill>
    </fill>
    <fill>
      <patternFill patternType="solid">
        <fgColor theme="0" tint="-0.499984740745262"/>
        <bgColor indexed="64"/>
      </patternFill>
    </fill>
  </fills>
  <borders count="4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right style="medium">
        <color indexed="64"/>
      </right>
      <top style="medium">
        <color indexed="64"/>
      </top>
      <bottom style="medium">
        <color indexed="64"/>
      </bottom>
      <diagonal/>
    </border>
    <border>
      <left style="hair">
        <color theme="1" tint="0.499984740745262"/>
      </left>
      <right/>
      <top style="hair">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indexed="64"/>
      </left>
      <right/>
      <top style="hair">
        <color indexed="64"/>
      </top>
      <bottom style="thin">
        <color theme="1" tint="0.499984740745262"/>
      </bottom>
      <diagonal/>
    </border>
    <border>
      <left/>
      <right style="hair">
        <color auto="1"/>
      </right>
      <top style="hair">
        <color indexed="64"/>
      </top>
      <bottom style="thin">
        <color theme="1" tint="0.499984740745262"/>
      </bottom>
      <diagonal/>
    </border>
    <border>
      <left style="hair">
        <color indexed="64"/>
      </left>
      <right style="hair">
        <color auto="1"/>
      </right>
      <top style="hair">
        <color indexed="64"/>
      </top>
      <bottom style="thin">
        <color theme="1" tint="0.499984740745262"/>
      </bottom>
      <diagonal/>
    </border>
    <border>
      <left style="hair">
        <color indexed="64"/>
      </left>
      <right/>
      <top style="thin">
        <color theme="1" tint="0.499984740745262"/>
      </top>
      <bottom style="hair">
        <color indexed="64"/>
      </bottom>
      <diagonal/>
    </border>
    <border>
      <left/>
      <right style="hair">
        <color auto="1"/>
      </right>
      <top style="thin">
        <color theme="1" tint="0.499984740745262"/>
      </top>
      <bottom style="hair">
        <color indexed="64"/>
      </bottom>
      <diagonal/>
    </border>
    <border>
      <left style="hair">
        <color auto="1"/>
      </left>
      <right style="hair">
        <color auto="1"/>
      </right>
      <top style="thin">
        <color theme="1" tint="0.499984740745262"/>
      </top>
      <bottom style="hair">
        <color indexed="64"/>
      </bottom>
      <diagonal/>
    </border>
    <border>
      <left style="hair">
        <color auto="1"/>
      </left>
      <right/>
      <top/>
      <bottom/>
      <diagonal/>
    </border>
    <border diagonalUp="1">
      <left style="hair">
        <color auto="1"/>
      </left>
      <right style="hair">
        <color auto="1"/>
      </right>
      <top style="thin">
        <color indexed="64"/>
      </top>
      <bottom/>
      <diagonal style="thick">
        <color auto="1"/>
      </diagonal>
    </border>
    <border>
      <left style="thin">
        <color auto="1"/>
      </left>
      <right style="hair">
        <color auto="1"/>
      </right>
      <top/>
      <bottom/>
      <diagonal/>
    </border>
    <border>
      <left style="thin">
        <color auto="1"/>
      </left>
      <right style="hair">
        <color auto="1"/>
      </right>
      <top/>
      <bottom style="hair">
        <color auto="1"/>
      </bottom>
      <diagonal/>
    </border>
  </borders>
  <cellStyleXfs count="6">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1" fillId="0" borderId="0" applyNumberFormat="0" applyFill="0" applyBorder="0" applyAlignment="0" applyProtection="0">
      <alignment vertical="center"/>
    </xf>
    <xf numFmtId="0" fontId="25" fillId="0" borderId="0"/>
    <xf numFmtId="0" fontId="6" fillId="0" borderId="0">
      <alignment vertical="center"/>
    </xf>
  </cellStyleXfs>
  <cellXfs count="311">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0" fontId="0" fillId="0" borderId="9" xfId="0" applyBorder="1">
      <alignment vertical="center"/>
    </xf>
    <xf numFmtId="38" fontId="2" fillId="2" borderId="9" xfId="2" applyFont="1" applyFill="1" applyBorder="1">
      <alignment vertical="center"/>
    </xf>
    <xf numFmtId="0" fontId="2" fillId="0" borderId="14" xfId="0" applyFont="1" applyBorder="1">
      <alignment vertical="center"/>
    </xf>
    <xf numFmtId="0" fontId="7" fillId="0" borderId="0" xfId="0" applyFont="1">
      <alignmen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8" fillId="0" borderId="1" xfId="0" applyFont="1" applyBorder="1">
      <alignment vertical="center"/>
    </xf>
    <xf numFmtId="0" fontId="3" fillId="0" borderId="0" xfId="0" applyFont="1" applyAlignment="1">
      <alignment horizontal="right" vertical="center"/>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9"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0" fillId="2" borderId="1" xfId="0" applyFont="1" applyFill="1" applyBorder="1" applyAlignment="1">
      <alignment horizontal="center" vertical="center" shrinkToFit="1"/>
    </xf>
    <xf numFmtId="0" fontId="2" fillId="0" borderId="7" xfId="0" applyFont="1" applyBorder="1" applyAlignment="1">
      <alignment horizontal="right" vertical="center"/>
    </xf>
    <xf numFmtId="0" fontId="3" fillId="0" borderId="0" xfId="0" applyFont="1" applyAlignment="1"/>
    <xf numFmtId="0" fontId="0" fillId="0" borderId="6" xfId="0" applyBorder="1" applyAlignment="1">
      <alignment horizontal="center" vertical="center"/>
    </xf>
    <xf numFmtId="0" fontId="2" fillId="0" borderId="8" xfId="0" applyFont="1" applyBorder="1" applyAlignment="1">
      <alignment horizontal="left" vertical="center"/>
    </xf>
    <xf numFmtId="0" fontId="0" fillId="0" borderId="4" xfId="0" applyBorder="1">
      <alignment vertical="center"/>
    </xf>
    <xf numFmtId="0" fontId="0" fillId="0" borderId="1" xfId="0" applyBorder="1">
      <alignment vertical="center"/>
    </xf>
    <xf numFmtId="0" fontId="0" fillId="0" borderId="18" xfId="0" applyBorder="1">
      <alignment vertical="center"/>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1" fillId="0" borderId="0" xfId="3">
      <alignment vertical="center"/>
    </xf>
    <xf numFmtId="0" fontId="3" fillId="0" borderId="0" xfId="0" applyFont="1" applyAlignment="1">
      <alignment horizontal="left" vertical="center" indent="1"/>
    </xf>
    <xf numFmtId="0" fontId="12" fillId="0" borderId="0" xfId="0" applyFont="1">
      <alignment vertical="center"/>
    </xf>
    <xf numFmtId="0" fontId="13" fillId="0" borderId="0" xfId="0" applyFont="1">
      <alignment vertical="center"/>
    </xf>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2" fillId="0" borderId="13" xfId="0" applyFont="1" applyBorder="1">
      <alignment vertical="center"/>
    </xf>
    <xf numFmtId="0" fontId="14"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19" xfId="0" applyFont="1" applyFill="1" applyBorder="1" applyAlignment="1">
      <alignment vertical="center" wrapText="1"/>
    </xf>
    <xf numFmtId="0" fontId="3" fillId="2" borderId="20"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15" fillId="0" borderId="18" xfId="0" applyFont="1" applyBorder="1" applyAlignment="1">
      <alignment horizontal="left" vertical="center" indent="1"/>
    </xf>
    <xf numFmtId="0" fontId="15"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38" fontId="2" fillId="2" borderId="22" xfId="2" applyFont="1" applyFill="1" applyBorder="1">
      <alignment vertical="center"/>
    </xf>
    <xf numFmtId="0" fontId="15" fillId="0" borderId="23" xfId="0" applyFont="1" applyBorder="1" applyAlignment="1">
      <alignment horizontal="left" vertical="center" indent="1"/>
    </xf>
    <xf numFmtId="0" fontId="2" fillId="2" borderId="24" xfId="0" applyFont="1" applyFill="1" applyBorder="1" applyAlignment="1">
      <alignment horizontal="left" vertical="center" indent="1"/>
    </xf>
    <xf numFmtId="0" fontId="2" fillId="0" borderId="18"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5"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6" fillId="4" borderId="1" xfId="0" applyFont="1" applyFill="1" applyBorder="1" applyAlignment="1">
      <alignment horizontal="left" vertical="center" indent="1"/>
    </xf>
    <xf numFmtId="38" fontId="3" fillId="4" borderId="1"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38" fontId="2" fillId="3" borderId="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3" borderId="20" xfId="2" applyFont="1" applyFill="1" applyBorder="1" applyProtection="1">
      <alignment vertical="center"/>
      <protection locked="0"/>
    </xf>
    <xf numFmtId="38" fontId="2" fillId="0" borderId="0" xfId="0" applyNumberFormat="1" applyFont="1">
      <alignment vertical="center"/>
    </xf>
    <xf numFmtId="0" fontId="17" fillId="0" borderId="0" xfId="0" applyFont="1">
      <alignment vertical="center"/>
    </xf>
    <xf numFmtId="0" fontId="11" fillId="0" borderId="0" xfId="3" applyBorder="1" applyAlignment="1">
      <alignment horizontal="left" vertical="center" indent="1"/>
    </xf>
    <xf numFmtId="38" fontId="3" fillId="0" borderId="1" xfId="2" applyFont="1" applyFill="1" applyBorder="1">
      <alignment vertical="center"/>
    </xf>
    <xf numFmtId="0" fontId="3" fillId="0" borderId="21"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6" fillId="0" borderId="3" xfId="0" applyFont="1" applyBorder="1" applyAlignment="1">
      <alignment horizontal="left" vertical="center" indent="1"/>
    </xf>
    <xf numFmtId="0" fontId="12"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4" xfId="0" applyFont="1" applyFill="1" applyBorder="1" applyAlignment="1">
      <alignment horizontal="left" vertical="center" indent="1"/>
    </xf>
    <xf numFmtId="0" fontId="4" fillId="0" borderId="13" xfId="0" applyFont="1" applyBorder="1">
      <alignment vertical="center"/>
    </xf>
    <xf numFmtId="10" fontId="10" fillId="2" borderId="1" xfId="1" applyNumberFormat="1" applyFont="1" applyFill="1" applyBorder="1" applyAlignment="1">
      <alignment horizontal="center" vertical="center"/>
    </xf>
    <xf numFmtId="0" fontId="0" fillId="0" borderId="3" xfId="0" applyBorder="1">
      <alignment vertical="center"/>
    </xf>
    <xf numFmtId="0" fontId="12" fillId="0" borderId="0" xfId="0" applyFont="1" applyAlignment="1">
      <alignment horizontal="left" indent="1"/>
    </xf>
    <xf numFmtId="10" fontId="10" fillId="2" borderId="9" xfId="1" applyNumberFormat="1"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3" fillId="0" borderId="16" xfId="0" applyFont="1" applyBorder="1">
      <alignment vertical="center"/>
    </xf>
    <xf numFmtId="0" fontId="19" fillId="0" borderId="0" xfId="0" applyFont="1">
      <alignment vertical="center"/>
    </xf>
    <xf numFmtId="0" fontId="2" fillId="0" borderId="17" xfId="0" applyFont="1" applyBorder="1">
      <alignment vertical="center"/>
    </xf>
    <xf numFmtId="177" fontId="0" fillId="3" borderId="1" xfId="0" applyNumberForma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10" fontId="2" fillId="3" borderId="3" xfId="1" applyNumberFormat="1" applyFont="1" applyFill="1" applyBorder="1" applyProtection="1">
      <alignment vertical="center"/>
      <protection locked="0"/>
    </xf>
    <xf numFmtId="0" fontId="2" fillId="0" borderId="0" xfId="0" applyFont="1" applyAlignment="1">
      <alignment horizontal="center" vertical="center"/>
    </xf>
    <xf numFmtId="0" fontId="2" fillId="2" borderId="5" xfId="0" applyFont="1" applyFill="1" applyBorder="1" applyAlignment="1">
      <alignment vertical="center" wrapText="1"/>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19" xfId="0" applyFont="1" applyFill="1" applyBorder="1" applyAlignment="1">
      <alignment horizontal="centerContinuous" vertical="center"/>
    </xf>
    <xf numFmtId="0" fontId="3" fillId="2" borderId="20" xfId="0" applyFont="1" applyFill="1" applyBorder="1" applyAlignment="1">
      <alignment horizontal="centerContinuous" vertical="center"/>
    </xf>
    <xf numFmtId="0" fontId="13" fillId="0" borderId="7" xfId="0" applyFont="1" applyBorder="1">
      <alignment vertical="center"/>
    </xf>
    <xf numFmtId="0" fontId="0" fillId="0" borderId="7" xfId="0" applyBorder="1">
      <alignment vertical="center"/>
    </xf>
    <xf numFmtId="0" fontId="0" fillId="0" borderId="4" xfId="0" applyBorder="1" applyAlignment="1">
      <alignment vertical="center" wrapText="1"/>
    </xf>
    <xf numFmtId="0" fontId="0" fillId="0" borderId="8" xfId="0" applyBorder="1" applyAlignment="1">
      <alignment vertical="center" wrapText="1"/>
    </xf>
    <xf numFmtId="0" fontId="4" fillId="0" borderId="9" xfId="0" applyFont="1" applyBorder="1">
      <alignment vertical="center"/>
    </xf>
    <xf numFmtId="0" fontId="4" fillId="0" borderId="2" xfId="0" applyFont="1" applyBorder="1">
      <alignment vertical="center"/>
    </xf>
    <xf numFmtId="0" fontId="4" fillId="0" borderId="3" xfId="0" applyFont="1" applyBorder="1" applyAlignment="1">
      <alignment vertical="center" wrapText="1"/>
    </xf>
    <xf numFmtId="0" fontId="4" fillId="0" borderId="2" xfId="0" applyFont="1" applyBorder="1" applyAlignment="1">
      <alignment vertical="center" wrapText="1"/>
    </xf>
    <xf numFmtId="0" fontId="4" fillId="0" borderId="9" xfId="0" applyFont="1" applyBorder="1" applyAlignment="1">
      <alignment vertical="center" wrapText="1"/>
    </xf>
    <xf numFmtId="0" fontId="16" fillId="0" borderId="0" xfId="0" applyFont="1" applyAlignment="1">
      <alignment horizontal="right" vertical="center"/>
    </xf>
    <xf numFmtId="49" fontId="2" fillId="3" borderId="1" xfId="0" applyNumberFormat="1" applyFont="1" applyFill="1" applyBorder="1" applyProtection="1">
      <alignment vertical="center"/>
      <protection locked="0"/>
    </xf>
    <xf numFmtId="0" fontId="4" fillId="0" borderId="3" xfId="0" applyFont="1" applyBorder="1">
      <alignment vertical="center"/>
    </xf>
    <xf numFmtId="0" fontId="2" fillId="0" borderId="9" xfId="0" applyFont="1" applyBorder="1">
      <alignment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30" xfId="0" applyFont="1" applyFill="1" applyBorder="1" applyAlignment="1">
      <alignment vertical="center" shrinkToFit="1"/>
    </xf>
    <xf numFmtId="0" fontId="20" fillId="0" borderId="1" xfId="0" applyFont="1"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20" fillId="0" borderId="33" xfId="0" applyFont="1" applyBorder="1">
      <alignment vertical="center"/>
    </xf>
    <xf numFmtId="0" fontId="0" fillId="0" borderId="12" xfId="0" applyBorder="1">
      <alignment vertical="center"/>
    </xf>
    <xf numFmtId="0" fontId="0" fillId="0" borderId="11" xfId="0" applyBorder="1">
      <alignment vertical="center"/>
    </xf>
    <xf numFmtId="0" fontId="20" fillId="0" borderId="8" xfId="0" applyFont="1" applyBorder="1">
      <alignment vertical="center"/>
    </xf>
    <xf numFmtId="0" fontId="0" fillId="0" borderId="1" xfId="0" applyBorder="1" applyAlignment="1">
      <alignment vertical="center" wrapText="1"/>
    </xf>
    <xf numFmtId="0" fontId="20" fillId="0" borderId="7" xfId="0" applyFont="1" applyBorder="1">
      <alignment vertical="center"/>
    </xf>
    <xf numFmtId="0" fontId="0" fillId="0" borderId="15" xfId="0" applyBorder="1">
      <alignment vertical="center"/>
    </xf>
    <xf numFmtId="0" fontId="0" fillId="0" borderId="5" xfId="0" applyBorder="1">
      <alignment vertical="center"/>
    </xf>
    <xf numFmtId="0" fontId="20" fillId="0" borderId="4" xfId="0" applyFont="1" applyBorder="1">
      <alignment vertical="center"/>
    </xf>
    <xf numFmtId="0" fontId="0" fillId="0" borderId="34" xfId="0" applyBorder="1">
      <alignment vertical="center"/>
    </xf>
    <xf numFmtId="0" fontId="0" fillId="0" borderId="35" xfId="0" applyBorder="1">
      <alignment vertical="center"/>
    </xf>
    <xf numFmtId="0" fontId="0" fillId="0" borderId="36" xfId="0" applyBorder="1" applyAlignment="1">
      <alignment vertical="center" wrapText="1"/>
    </xf>
    <xf numFmtId="0" fontId="20" fillId="0" borderId="36" xfId="0" applyFont="1" applyBorder="1">
      <alignment vertical="center"/>
    </xf>
    <xf numFmtId="0" fontId="2" fillId="0" borderId="27" xfId="0" applyFont="1" applyBorder="1" applyAlignment="1">
      <alignment horizontal="right" vertical="center"/>
    </xf>
    <xf numFmtId="0" fontId="4" fillId="2" borderId="2" xfId="0" applyFont="1" applyFill="1" applyBorder="1" applyAlignment="1">
      <alignment vertical="center" wrapText="1"/>
    </xf>
    <xf numFmtId="0" fontId="12" fillId="0" borderId="7" xfId="0" applyFont="1" applyBorder="1">
      <alignment vertical="center"/>
    </xf>
    <xf numFmtId="0" fontId="3" fillId="2" borderId="2" xfId="0" applyFont="1" applyFill="1" applyBorder="1" applyAlignment="1">
      <alignment horizontal="right" vertical="center"/>
    </xf>
    <xf numFmtId="0" fontId="3" fillId="2" borderId="9" xfId="0" applyFont="1" applyFill="1" applyBorder="1" applyAlignment="1">
      <alignment vertical="center" shrinkToFit="1"/>
    </xf>
    <xf numFmtId="0" fontId="22" fillId="2" borderId="2" xfId="0" applyFont="1" applyFill="1" applyBorder="1">
      <alignment vertical="center"/>
    </xf>
    <xf numFmtId="0" fontId="2" fillId="2" borderId="2" xfId="0" applyFont="1" applyFill="1" applyBorder="1" applyAlignment="1">
      <alignment vertical="center" shrinkToFit="1"/>
    </xf>
    <xf numFmtId="0" fontId="21" fillId="0" borderId="9" xfId="0" applyFont="1" applyBorder="1">
      <alignment vertical="center"/>
    </xf>
    <xf numFmtId="0" fontId="2" fillId="0" borderId="2" xfId="0" applyFont="1" applyBorder="1">
      <alignment vertical="center"/>
    </xf>
    <xf numFmtId="180" fontId="2" fillId="2" borderId="1" xfId="0" applyNumberFormat="1" applyFont="1" applyFill="1" applyBorder="1" applyAlignment="1">
      <alignment horizontal="center" vertical="center" shrinkToFit="1"/>
    </xf>
    <xf numFmtId="0" fontId="23" fillId="0" borderId="16" xfId="0" applyFont="1" applyBorder="1">
      <alignment vertical="center"/>
    </xf>
    <xf numFmtId="0" fontId="2" fillId="2" borderId="3" xfId="0" applyFont="1" applyFill="1" applyBorder="1" applyAlignment="1">
      <alignment vertical="center" wrapText="1"/>
    </xf>
    <xf numFmtId="0" fontId="4" fillId="0" borderId="12" xfId="0" applyFont="1" applyBorder="1">
      <alignment vertical="center"/>
    </xf>
    <xf numFmtId="0" fontId="4" fillId="0" borderId="37" xfId="0" applyFont="1" applyBorder="1">
      <alignment vertical="center"/>
    </xf>
    <xf numFmtId="0" fontId="10" fillId="0" borderId="7" xfId="0" applyFont="1" applyBorder="1" applyAlignment="1">
      <alignment horizontal="right" vertical="center"/>
    </xf>
    <xf numFmtId="0" fontId="10" fillId="2" borderId="1" xfId="0" applyFont="1" applyFill="1" applyBorder="1" applyAlignment="1">
      <alignment horizontal="center" vertical="center" wrapText="1" shrinkToFit="1"/>
    </xf>
    <xf numFmtId="0" fontId="24" fillId="0" borderId="0" xfId="0" applyFont="1">
      <alignment vertical="center"/>
    </xf>
    <xf numFmtId="0" fontId="2" fillId="0" borderId="5" xfId="0" applyFont="1" applyBorder="1" applyAlignment="1">
      <alignment vertical="center" wrapText="1"/>
    </xf>
    <xf numFmtId="0" fontId="2" fillId="0" borderId="7" xfId="0" applyFont="1" applyBorder="1" applyAlignment="1">
      <alignment vertical="center" wrapText="1"/>
    </xf>
    <xf numFmtId="0" fontId="2" fillId="0" borderId="11" xfId="0" applyFont="1" applyBorder="1" applyAlignment="1">
      <alignment vertical="center" wrapText="1"/>
    </xf>
    <xf numFmtId="0" fontId="2" fillId="0" borderId="13" xfId="0" applyFont="1" applyBorder="1" applyAlignment="1">
      <alignment vertical="center" shrinkToFit="1"/>
    </xf>
    <xf numFmtId="0" fontId="2" fillId="0" borderId="13" xfId="0" applyFont="1" applyBorder="1" applyAlignment="1">
      <alignment vertical="center" wrapText="1"/>
    </xf>
    <xf numFmtId="0" fontId="4" fillId="0" borderId="15" xfId="0" applyFont="1" applyBorder="1">
      <alignment vertical="center"/>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9" xfId="0" applyFont="1" applyBorder="1" applyAlignment="1">
      <alignment vertical="center" wrapText="1"/>
    </xf>
    <xf numFmtId="0" fontId="2" fillId="0" borderId="18" xfId="0" applyFont="1" applyBorder="1">
      <alignment vertical="center"/>
    </xf>
    <xf numFmtId="0" fontId="2" fillId="0" borderId="3" xfId="0" applyFont="1" applyBorder="1">
      <alignment vertical="center"/>
    </xf>
    <xf numFmtId="0" fontId="2" fillId="2" borderId="3" xfId="0" applyFont="1" applyFill="1" applyBorder="1" applyAlignment="1">
      <alignment vertical="center" shrinkToFit="1"/>
    </xf>
    <xf numFmtId="0" fontId="16" fillId="2" borderId="1" xfId="0" applyFont="1" applyFill="1" applyBorder="1" applyAlignment="1">
      <alignment horizontal="center" vertical="center" shrinkToFit="1"/>
    </xf>
    <xf numFmtId="0" fontId="2" fillId="0" borderId="15" xfId="0" applyFont="1" applyBorder="1" applyAlignment="1">
      <alignment horizontal="left" vertical="center"/>
    </xf>
    <xf numFmtId="0" fontId="2" fillId="0" borderId="12" xfId="0" applyFont="1" applyBorder="1" applyAlignment="1">
      <alignment horizontal="left" vertical="center"/>
    </xf>
    <xf numFmtId="0" fontId="11" fillId="0" borderId="0" xfId="3" applyAlignment="1">
      <alignment horizontal="left" vertical="center" indent="1"/>
    </xf>
    <xf numFmtId="0" fontId="2" fillId="2" borderId="1" xfId="0" applyFont="1" applyFill="1" applyBorder="1" applyAlignment="1">
      <alignment vertical="center" wrapText="1"/>
    </xf>
    <xf numFmtId="0" fontId="4" fillId="6" borderId="1" xfId="0" applyFont="1" applyFill="1" applyBorder="1">
      <alignment vertical="center"/>
    </xf>
    <xf numFmtId="0" fontId="2" fillId="5" borderId="4" xfId="0" applyFont="1" applyFill="1" applyBorder="1">
      <alignment vertical="center"/>
    </xf>
    <xf numFmtId="0" fontId="2" fillId="5" borderId="13" xfId="0" applyFont="1" applyFill="1" applyBorder="1" applyAlignment="1">
      <alignment horizontal="right" vertical="center"/>
    </xf>
    <xf numFmtId="0" fontId="2" fillId="0" borderId="13" xfId="0" applyFont="1" applyBorder="1" applyAlignment="1">
      <alignment horizontal="center" vertical="center"/>
    </xf>
    <xf numFmtId="0" fontId="12" fillId="0" borderId="0" xfId="0" applyFont="1" applyAlignment="1">
      <alignment vertical="center" wrapText="1"/>
    </xf>
    <xf numFmtId="0" fontId="0" fillId="0" borderId="0" xfId="0" applyAlignment="1">
      <alignment vertical="center" wrapText="1"/>
    </xf>
    <xf numFmtId="0" fontId="2" fillId="0" borderId="1" xfId="0" applyFont="1" applyBorder="1" applyAlignment="1">
      <alignment vertical="center" wrapText="1"/>
    </xf>
    <xf numFmtId="49" fontId="0" fillId="0" borderId="0" xfId="0" applyNumberFormat="1">
      <alignment vertical="center"/>
    </xf>
    <xf numFmtId="38" fontId="2" fillId="0" borderId="0" xfId="2" applyFont="1" applyAlignment="1">
      <alignment horizontal="right" vertical="center"/>
    </xf>
    <xf numFmtId="0" fontId="2" fillId="0" borderId="4" xfId="0" applyFont="1" applyBorder="1" applyAlignment="1">
      <alignment horizontal="left" vertical="center"/>
    </xf>
    <xf numFmtId="0" fontId="2" fillId="0" borderId="18" xfId="0" applyFont="1" applyBorder="1" applyAlignment="1">
      <alignment horizontal="left" vertical="center"/>
    </xf>
    <xf numFmtId="9" fontId="2" fillId="0" borderId="0" xfId="1" applyFont="1">
      <alignment vertical="center"/>
    </xf>
    <xf numFmtId="0" fontId="2" fillId="0" borderId="7" xfId="0" applyFont="1" applyBorder="1" applyAlignment="1">
      <alignment horizontal="left" vertical="center" wrapText="1"/>
    </xf>
    <xf numFmtId="182" fontId="2" fillId="3" borderId="3" xfId="2" applyNumberFormat="1" applyFont="1" applyFill="1" applyBorder="1" applyProtection="1">
      <alignment vertical="center"/>
      <protection locked="0"/>
    </xf>
    <xf numFmtId="0" fontId="2" fillId="2" borderId="15" xfId="0" applyFont="1" applyFill="1" applyBorder="1" applyAlignment="1">
      <alignment horizontal="centerContinuous" vertical="center"/>
    </xf>
    <xf numFmtId="0" fontId="3" fillId="2" borderId="15" xfId="0" applyFont="1" applyFill="1" applyBorder="1" applyAlignment="1">
      <alignment vertical="center" wrapText="1"/>
    </xf>
    <xf numFmtId="49" fontId="0" fillId="7" borderId="1" xfId="0" applyNumberFormat="1" applyFill="1" applyBorder="1" applyAlignment="1" applyProtection="1">
      <alignment horizontal="left" vertical="center"/>
      <protection locked="0"/>
    </xf>
    <xf numFmtId="0" fontId="18" fillId="0" borderId="0" xfId="0" applyFont="1" applyAlignment="1" applyProtection="1">
      <alignment vertical="center" wrapText="1"/>
      <protection hidden="1"/>
    </xf>
    <xf numFmtId="0" fontId="2" fillId="0" borderId="27" xfId="0" applyFont="1" applyBorder="1" applyAlignment="1">
      <alignment vertical="center" wrapText="1"/>
    </xf>
    <xf numFmtId="177" fontId="0" fillId="2" borderId="1" xfId="0" applyNumberFormat="1" applyFill="1" applyBorder="1" applyAlignment="1">
      <alignment horizontal="left" vertical="center" wrapText="1"/>
    </xf>
    <xf numFmtId="0" fontId="0" fillId="2" borderId="1" xfId="0" applyFill="1" applyBorder="1" applyAlignment="1">
      <alignment horizontal="left" vertical="center" wrapText="1"/>
    </xf>
    <xf numFmtId="177" fontId="0" fillId="3" borderId="1" xfId="0" applyNumberFormat="1" applyFill="1" applyBorder="1" applyAlignment="1" applyProtection="1">
      <alignment horizontal="left" vertical="center" wrapText="1"/>
      <protection locked="0"/>
    </xf>
    <xf numFmtId="179" fontId="2" fillId="3" borderId="1" xfId="0" applyNumberFormat="1" applyFont="1" applyFill="1" applyBorder="1" applyAlignment="1" applyProtection="1">
      <alignment horizontal="left" vertical="center" wrapText="1"/>
      <protection locked="0"/>
    </xf>
    <xf numFmtId="49" fontId="4" fillId="3" borderId="1" xfId="0" applyNumberFormat="1" applyFont="1" applyFill="1" applyBorder="1" applyAlignment="1" applyProtection="1">
      <alignment horizontal="left" vertical="center" wrapText="1"/>
      <protection locked="0"/>
    </xf>
    <xf numFmtId="0" fontId="2" fillId="0" borderId="2" xfId="0" applyFont="1" applyBorder="1" applyAlignment="1">
      <alignment horizontal="left" vertical="center" wrapText="1"/>
    </xf>
    <xf numFmtId="0" fontId="4" fillId="2" borderId="2" xfId="0" applyFont="1" applyFill="1" applyBorder="1" applyAlignment="1">
      <alignment horizontal="left" vertical="center" wrapText="1"/>
    </xf>
    <xf numFmtId="0" fontId="4" fillId="0" borderId="2" xfId="0" applyFont="1" applyBorder="1" applyAlignment="1">
      <alignment horizontal="left" vertical="center" wrapText="1"/>
    </xf>
    <xf numFmtId="0" fontId="2" fillId="0" borderId="0" xfId="0" applyFont="1" applyAlignment="1">
      <alignment horizontal="left" vertical="center" wrapText="1"/>
    </xf>
    <xf numFmtId="0" fontId="11" fillId="0" borderId="0" xfId="3" applyAlignment="1">
      <alignment vertical="center" wrapText="1"/>
    </xf>
    <xf numFmtId="0" fontId="4" fillId="0" borderId="13" xfId="0" applyFont="1" applyBorder="1" applyAlignment="1">
      <alignment horizontal="left" vertical="center" wrapText="1"/>
    </xf>
    <xf numFmtId="0" fontId="4" fillId="0" borderId="0" xfId="0" applyFont="1" applyAlignment="1">
      <alignment horizontal="left" vertical="center" wrapText="1"/>
    </xf>
    <xf numFmtId="0" fontId="2" fillId="5" borderId="5" xfId="0" applyFont="1" applyFill="1" applyBorder="1" applyAlignment="1">
      <alignment vertical="center" wrapText="1"/>
    </xf>
    <xf numFmtId="0" fontId="3" fillId="2" borderId="2" xfId="0" applyFont="1" applyFill="1" applyBorder="1" applyAlignment="1">
      <alignment vertical="center" wrapText="1"/>
    </xf>
    <xf numFmtId="0" fontId="2" fillId="0" borderId="5" xfId="0" applyFont="1" applyBorder="1" applyAlignment="1">
      <alignment vertical="center" wrapText="1" shrinkToFit="1"/>
    </xf>
    <xf numFmtId="0" fontId="4" fillId="0" borderId="0" xfId="0" applyFont="1" applyAlignment="1">
      <alignment vertical="center" wrapText="1"/>
    </xf>
    <xf numFmtId="0" fontId="4" fillId="0" borderId="1" xfId="0" applyFont="1" applyBorder="1" applyAlignment="1">
      <alignment vertical="center" wrapText="1"/>
    </xf>
    <xf numFmtId="0" fontId="0" fillId="0" borderId="0" xfId="0" quotePrefix="1">
      <alignment vertical="center"/>
    </xf>
    <xf numFmtId="0" fontId="20" fillId="0" borderId="1" xfId="0" quotePrefix="1" applyFont="1" applyBorder="1">
      <alignment vertical="center"/>
    </xf>
    <xf numFmtId="49" fontId="0" fillId="2" borderId="1" xfId="0" applyNumberFormat="1" applyFill="1" applyBorder="1">
      <alignment vertical="center"/>
    </xf>
    <xf numFmtId="0" fontId="0" fillId="7" borderId="1" xfId="0" applyFill="1" applyBorder="1" applyAlignment="1" applyProtection="1">
      <alignment horizontal="left" vertical="center"/>
      <protection locked="0"/>
    </xf>
    <xf numFmtId="10" fontId="2" fillId="2" borderId="10" xfId="1" applyNumberFormat="1" applyFont="1" applyFill="1" applyBorder="1">
      <alignment vertical="center"/>
    </xf>
    <xf numFmtId="10" fontId="2" fillId="2" borderId="10" xfId="2" applyNumberFormat="1" applyFont="1" applyFill="1" applyBorder="1">
      <alignment vertical="center"/>
    </xf>
    <xf numFmtId="0" fontId="2" fillId="0" borderId="3" xfId="0" applyFont="1" applyBorder="1" applyAlignment="1">
      <alignment horizontal="left" vertical="center" wrapText="1"/>
    </xf>
    <xf numFmtId="0" fontId="2" fillId="0" borderId="11" xfId="0" applyFont="1" applyBorder="1" applyAlignment="1">
      <alignment horizontal="left" vertical="center" wrapText="1"/>
    </xf>
    <xf numFmtId="181" fontId="2" fillId="0" borderId="3" xfId="1" applyNumberFormat="1" applyFont="1" applyFill="1" applyBorder="1" applyAlignment="1">
      <alignment vertical="center"/>
    </xf>
    <xf numFmtId="38" fontId="2" fillId="3" borderId="1" xfId="0" applyNumberFormat="1" applyFont="1" applyFill="1" applyBorder="1" applyProtection="1">
      <alignment vertical="center"/>
      <protection locked="0"/>
    </xf>
    <xf numFmtId="10" fontId="2" fillId="3" borderId="1" xfId="1" applyNumberFormat="1" applyFont="1" applyFill="1" applyBorder="1" applyProtection="1">
      <alignment vertical="center"/>
      <protection locked="0"/>
    </xf>
    <xf numFmtId="38" fontId="0" fillId="3" borderId="1" xfId="2" applyFont="1" applyFill="1" applyBorder="1" applyAlignment="1" applyProtection="1">
      <alignment horizontal="left" vertical="center"/>
      <protection locked="0"/>
    </xf>
    <xf numFmtId="177" fontId="18" fillId="0" borderId="0" xfId="0" applyNumberFormat="1" applyFont="1" applyAlignment="1">
      <alignment horizontal="left" vertical="center"/>
    </xf>
    <xf numFmtId="181" fontId="2" fillId="0" borderId="1" xfId="1" applyNumberFormat="1" applyFont="1" applyFill="1" applyBorder="1" applyAlignment="1">
      <alignment vertical="center"/>
    </xf>
    <xf numFmtId="38" fontId="2" fillId="3" borderId="1" xfId="2" applyFont="1" applyFill="1" applyBorder="1" applyAlignment="1" applyProtection="1">
      <alignment vertical="center"/>
      <protection locked="0"/>
    </xf>
    <xf numFmtId="10" fontId="2" fillId="3" borderId="1" xfId="1" applyNumberFormat="1" applyFont="1" applyFill="1" applyBorder="1" applyAlignment="1" applyProtection="1">
      <alignment vertical="center"/>
      <protection locked="0"/>
    </xf>
    <xf numFmtId="0" fontId="21" fillId="0" borderId="0" xfId="0" applyFont="1">
      <alignment vertical="center"/>
    </xf>
    <xf numFmtId="49" fontId="2" fillId="3" borderId="1" xfId="0" applyNumberFormat="1" applyFont="1" applyFill="1" applyBorder="1" applyAlignment="1" applyProtection="1">
      <alignment horizontal="left" vertical="center"/>
      <protection locked="0"/>
    </xf>
    <xf numFmtId="49" fontId="2" fillId="3" borderId="8" xfId="0" applyNumberFormat="1" applyFont="1" applyFill="1" applyBorder="1" applyAlignment="1" applyProtection="1">
      <alignment horizontal="left" vertical="center"/>
      <protection locked="0"/>
    </xf>
    <xf numFmtId="49" fontId="2" fillId="3" borderId="3" xfId="0" applyNumberFormat="1" applyFont="1" applyFill="1" applyBorder="1" applyProtection="1">
      <alignment vertical="center"/>
      <protection locked="0"/>
    </xf>
    <xf numFmtId="49" fontId="2" fillId="3" borderId="21" xfId="0" applyNumberFormat="1" applyFont="1" applyFill="1" applyBorder="1" applyAlignment="1" applyProtection="1">
      <alignment vertical="center" wrapText="1"/>
      <protection locked="0"/>
    </xf>
    <xf numFmtId="49" fontId="2" fillId="3" borderId="19" xfId="0" applyNumberFormat="1" applyFont="1" applyFill="1" applyBorder="1" applyAlignment="1" applyProtection="1">
      <alignment vertical="center" wrapText="1"/>
      <protection locked="0"/>
    </xf>
    <xf numFmtId="49" fontId="2" fillId="2" borderId="21" xfId="0" applyNumberFormat="1" applyFont="1" applyFill="1" applyBorder="1" applyAlignment="1">
      <alignment vertical="center" wrapText="1"/>
    </xf>
    <xf numFmtId="49" fontId="2" fillId="2" borderId="19" xfId="0" applyNumberFormat="1" applyFont="1" applyFill="1" applyBorder="1" applyAlignment="1">
      <alignment vertical="center" wrapText="1"/>
    </xf>
    <xf numFmtId="49" fontId="3" fillId="4" borderId="21" xfId="0" applyNumberFormat="1" applyFont="1" applyFill="1" applyBorder="1" applyAlignment="1">
      <alignment vertical="center" wrapText="1"/>
    </xf>
    <xf numFmtId="49" fontId="2" fillId="3" borderId="9" xfId="0" applyNumberFormat="1" applyFont="1" applyFill="1" applyBorder="1" applyProtection="1">
      <alignment vertical="center"/>
      <protection locked="0"/>
    </xf>
    <xf numFmtId="0" fontId="12" fillId="0" borderId="37" xfId="0" applyFont="1" applyBorder="1">
      <alignment vertical="center"/>
    </xf>
    <xf numFmtId="0" fontId="2" fillId="0" borderId="3" xfId="0" applyFont="1" applyBorder="1" applyAlignment="1">
      <alignment vertical="center" wrapText="1"/>
    </xf>
    <xf numFmtId="0" fontId="11" fillId="0" borderId="0" xfId="3" applyAlignment="1">
      <alignment horizontal="left" vertical="center"/>
    </xf>
    <xf numFmtId="181" fontId="0" fillId="3" borderId="1" xfId="0" applyNumberFormat="1" applyFill="1" applyBorder="1" applyAlignment="1" applyProtection="1">
      <alignment horizontal="left" vertical="center"/>
      <protection locked="0"/>
    </xf>
    <xf numFmtId="49" fontId="29" fillId="8" borderId="1" xfId="0" applyNumberFormat="1" applyFont="1" applyFill="1" applyBorder="1" applyProtection="1">
      <alignment vertical="center"/>
      <protection locked="0"/>
    </xf>
    <xf numFmtId="10" fontId="2" fillId="0" borderId="15" xfId="1" applyNumberFormat="1" applyFont="1" applyFill="1" applyBorder="1" applyAlignment="1" applyProtection="1">
      <alignment vertical="center"/>
    </xf>
    <xf numFmtId="49" fontId="29" fillId="8" borderId="9" xfId="0" applyNumberFormat="1" applyFont="1" applyFill="1" applyBorder="1" applyAlignment="1" applyProtection="1">
      <alignment vertical="center" wrapText="1"/>
      <protection locked="0"/>
    </xf>
    <xf numFmtId="49" fontId="29" fillId="8" borderId="2" xfId="0" applyNumberFormat="1" applyFont="1" applyFill="1" applyBorder="1" applyAlignment="1" applyProtection="1">
      <alignment vertical="center" wrapText="1"/>
      <protection locked="0"/>
    </xf>
    <xf numFmtId="49" fontId="29" fillId="8" borderId="3" xfId="0" applyNumberFormat="1" applyFont="1" applyFill="1" applyBorder="1" applyAlignment="1" applyProtection="1">
      <alignment vertical="center" wrapText="1"/>
      <protection locked="0"/>
    </xf>
    <xf numFmtId="49" fontId="2" fillId="3" borderId="8" xfId="0" applyNumberFormat="1" applyFont="1" applyFill="1" applyBorder="1" applyProtection="1">
      <alignment vertical="center"/>
      <protection locked="0"/>
    </xf>
    <xf numFmtId="49" fontId="11" fillId="3" borderId="1" xfId="3" applyNumberFormat="1" applyFill="1" applyBorder="1" applyAlignment="1" applyProtection="1">
      <alignment horizontal="left" vertical="center"/>
      <protection locked="0"/>
    </xf>
    <xf numFmtId="10" fontId="2" fillId="0" borderId="0" xfId="1" applyNumberFormat="1" applyFont="1" applyFill="1" applyBorder="1" applyAlignment="1" applyProtection="1">
      <alignment vertical="center"/>
    </xf>
    <xf numFmtId="182" fontId="2" fillId="3" borderId="1" xfId="2" applyNumberFormat="1" applyFont="1" applyFill="1" applyBorder="1" applyProtection="1">
      <alignment vertical="center"/>
      <protection locked="0"/>
    </xf>
    <xf numFmtId="38" fontId="3" fillId="2" borderId="4" xfId="0" applyNumberFormat="1" applyFont="1" applyFill="1" applyBorder="1" applyAlignment="1">
      <alignment vertical="center" wrapText="1"/>
    </xf>
    <xf numFmtId="38" fontId="3" fillId="2" borderId="20" xfId="0" applyNumberFormat="1" applyFont="1" applyFill="1" applyBorder="1" applyAlignment="1">
      <alignment vertical="center" wrapText="1"/>
    </xf>
    <xf numFmtId="38" fontId="3" fillId="2" borderId="15" xfId="0" applyNumberFormat="1" applyFont="1" applyFill="1" applyBorder="1" applyAlignment="1">
      <alignment vertical="center" wrapText="1"/>
    </xf>
    <xf numFmtId="0" fontId="2" fillId="4" borderId="1" xfId="0" applyFont="1" applyFill="1" applyBorder="1" applyAlignment="1">
      <alignment horizontal="left" vertical="center" indent="1"/>
    </xf>
    <xf numFmtId="0" fontId="4" fillId="4" borderId="1" xfId="0" applyFont="1" applyFill="1" applyBorder="1" applyAlignment="1">
      <alignment horizontal="left" vertical="center" indent="1"/>
    </xf>
    <xf numFmtId="0" fontId="3" fillId="4" borderId="4" xfId="0" applyFont="1" applyFill="1" applyBorder="1" applyAlignment="1">
      <alignment vertical="center" wrapText="1"/>
    </xf>
    <xf numFmtId="0" fontId="3" fillId="4" borderId="15" xfId="0" applyFont="1" applyFill="1" applyBorder="1" applyAlignment="1">
      <alignment vertical="center" wrapText="1"/>
    </xf>
    <xf numFmtId="0" fontId="3" fillId="4" borderId="19" xfId="0" applyFont="1" applyFill="1" applyBorder="1" applyAlignment="1">
      <alignment vertical="center" wrapText="1"/>
    </xf>
    <xf numFmtId="38" fontId="2" fillId="9" borderId="38" xfId="2" applyFont="1" applyFill="1" applyBorder="1">
      <alignment vertical="center"/>
    </xf>
    <xf numFmtId="183" fontId="2" fillId="2" borderId="1" xfId="2" applyNumberFormat="1" applyFont="1" applyFill="1" applyBorder="1" applyProtection="1">
      <alignment vertical="center"/>
    </xf>
    <xf numFmtId="0" fontId="3" fillId="2" borderId="20" xfId="0" applyFont="1" applyFill="1" applyBorder="1" applyAlignment="1">
      <alignment horizontal="left" vertical="center" indent="1"/>
    </xf>
    <xf numFmtId="0" fontId="2" fillId="0" borderId="20" xfId="0" applyFont="1" applyBorder="1" applyAlignment="1">
      <alignment horizontal="left" vertical="center" indent="1"/>
    </xf>
    <xf numFmtId="0" fontId="15" fillId="0" borderId="39" xfId="0" applyFont="1" applyBorder="1" applyAlignment="1">
      <alignment horizontal="left" vertical="center" indent="1"/>
    </xf>
    <xf numFmtId="0" fontId="15" fillId="0" borderId="40" xfId="0" applyFont="1" applyBorder="1" applyAlignment="1">
      <alignment horizontal="left" vertical="center" indent="1"/>
    </xf>
    <xf numFmtId="0" fontId="3" fillId="4" borderId="20" xfId="0" applyFont="1" applyFill="1" applyBorder="1" applyAlignment="1">
      <alignment vertical="center" wrapText="1"/>
    </xf>
    <xf numFmtId="38" fontId="2" fillId="9" borderId="38" xfId="2" applyFont="1" applyFill="1" applyBorder="1" applyProtection="1">
      <alignment vertical="center"/>
    </xf>
    <xf numFmtId="183" fontId="2" fillId="2" borderId="9" xfId="2" applyNumberFormat="1" applyFont="1" applyFill="1" applyBorder="1" applyProtection="1">
      <alignment vertical="center"/>
    </xf>
    <xf numFmtId="183" fontId="2" fillId="2" borderId="4" xfId="2" applyNumberFormat="1" applyFont="1" applyFill="1" applyBorder="1" applyProtection="1">
      <alignment vertical="center"/>
    </xf>
    <xf numFmtId="183" fontId="2" fillId="2" borderId="15" xfId="2" applyNumberFormat="1" applyFont="1" applyFill="1" applyBorder="1" applyProtection="1">
      <alignment vertical="center"/>
    </xf>
    <xf numFmtId="0" fontId="2" fillId="0" borderId="21" xfId="0" applyFont="1" applyBorder="1" applyAlignment="1">
      <alignment vertical="center" wrapText="1"/>
    </xf>
    <xf numFmtId="0" fontId="2" fillId="2" borderId="21" xfId="0" applyFont="1" applyFill="1" applyBorder="1" applyAlignment="1">
      <alignment vertical="center" wrapText="1"/>
    </xf>
    <xf numFmtId="0" fontId="2" fillId="0" borderId="19" xfId="0" applyFont="1" applyBorder="1" applyAlignment="1">
      <alignment vertical="center" wrapText="1"/>
    </xf>
    <xf numFmtId="0" fontId="2" fillId="2" borderId="19" xfId="0" applyFont="1" applyFill="1" applyBorder="1" applyAlignment="1">
      <alignment vertical="center" wrapText="1"/>
    </xf>
    <xf numFmtId="0" fontId="2" fillId="2" borderId="26" xfId="0" applyFont="1" applyFill="1" applyBorder="1" applyAlignment="1">
      <alignment vertical="center" wrapText="1"/>
    </xf>
    <xf numFmtId="183" fontId="2" fillId="0" borderId="1" xfId="2" applyNumberFormat="1" applyFont="1" applyFill="1" applyBorder="1">
      <alignment vertical="center"/>
    </xf>
    <xf numFmtId="0" fontId="0" fillId="3" borderId="1" xfId="0" applyFill="1" applyBorder="1" applyProtection="1">
      <alignment vertical="center"/>
      <protection locked="0"/>
    </xf>
    <xf numFmtId="0" fontId="26" fillId="0" borderId="37" xfId="0" applyFont="1" applyBorder="1" applyAlignment="1">
      <alignment vertical="center" wrapText="1"/>
    </xf>
    <xf numFmtId="0" fontId="4" fillId="0" borderId="9" xfId="0" applyFont="1" applyBorder="1" applyAlignment="1">
      <alignment vertical="center" wrapText="1"/>
    </xf>
    <xf numFmtId="0" fontId="12" fillId="0" borderId="0" xfId="0" applyFont="1" applyAlignment="1">
      <alignment vertical="center" wrapText="1"/>
    </xf>
    <xf numFmtId="10" fontId="10" fillId="2" borderId="4" xfId="1" applyNumberFormat="1" applyFont="1" applyFill="1" applyBorder="1" applyAlignment="1">
      <alignment horizontal="center" vertical="center"/>
    </xf>
    <xf numFmtId="10" fontId="10" fillId="2" borderId="8" xfId="1" applyNumberFormat="1" applyFont="1" applyFill="1" applyBorder="1" applyAlignment="1">
      <alignment horizontal="center" vertical="center"/>
    </xf>
    <xf numFmtId="0" fontId="10" fillId="2" borderId="9" xfId="0" applyFont="1" applyFill="1" applyBorder="1" applyAlignment="1">
      <alignment horizontal="center" vertical="center" wrapText="1" shrinkToFit="1"/>
    </xf>
    <xf numFmtId="0" fontId="10" fillId="2" borderId="3" xfId="0" applyFont="1" applyFill="1" applyBorder="1" applyAlignment="1">
      <alignment horizontal="center" vertical="center" wrapText="1" shrinkToFit="1"/>
    </xf>
    <xf numFmtId="10" fontId="10" fillId="2" borderId="15" xfId="1" applyNumberFormat="1" applyFont="1" applyFill="1" applyBorder="1" applyAlignment="1">
      <alignment horizontal="center" vertical="center"/>
    </xf>
    <xf numFmtId="10" fontId="10" fillId="2" borderId="5" xfId="1" applyNumberFormat="1" applyFont="1" applyFill="1" applyBorder="1" applyAlignment="1">
      <alignment horizontal="center" vertical="center"/>
    </xf>
    <xf numFmtId="10" fontId="10" fillId="2" borderId="12" xfId="1" applyNumberFormat="1" applyFont="1" applyFill="1" applyBorder="1" applyAlignment="1">
      <alignment horizontal="center" vertical="center"/>
    </xf>
    <xf numFmtId="10" fontId="10" fillId="2" borderId="11" xfId="1" applyNumberFormat="1" applyFont="1" applyFill="1" applyBorder="1" applyAlignment="1">
      <alignment horizontal="center" vertical="center"/>
    </xf>
    <xf numFmtId="0" fontId="26" fillId="0" borderId="0" xfId="0" applyFont="1" applyAlignment="1">
      <alignment vertical="center"/>
    </xf>
    <xf numFmtId="0" fontId="26" fillId="0" borderId="13" xfId="0" applyFont="1" applyBorder="1" applyAlignment="1">
      <alignment vertical="center"/>
    </xf>
    <xf numFmtId="0" fontId="26" fillId="0" borderId="3"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cellXfs>
  <cellStyles count="6">
    <cellStyle name="パーセント" xfId="1" builtinId="5"/>
    <cellStyle name="ハイパーリンク" xfId="3" builtinId="8"/>
    <cellStyle name="桁区切り" xfId="2" builtinId="6"/>
    <cellStyle name="標準" xfId="0" builtinId="0"/>
    <cellStyle name="標準 2" xfId="5" xr:uid="{DC9FA26C-E666-4B7E-9AF2-C9472BC67B4E}"/>
    <cellStyle name="標準 2 3" xfId="4" xr:uid="{7D0B5893-FC52-4C52-8E78-CCFC3A8C3B94}"/>
  </cellStyles>
  <dxfs count="61">
    <dxf>
      <font>
        <color theme="2"/>
      </font>
    </dxf>
    <dxf>
      <font>
        <color theme="2"/>
      </font>
    </dxf>
    <dxf>
      <font>
        <color theme="2"/>
      </font>
    </dxf>
    <dxf>
      <font>
        <color theme="2"/>
      </font>
    </dxf>
    <dxf>
      <font>
        <color theme="2"/>
      </font>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7" tint="0.79998168889431442"/>
        </patternFill>
      </fill>
    </dxf>
    <dxf>
      <fill>
        <patternFill>
          <bgColor theme="1" tint="0.499984740745262"/>
        </patternFill>
      </fill>
    </dxf>
    <dxf>
      <fill>
        <patternFill>
          <bgColor theme="1" tint="0.499984740745262"/>
        </patternFill>
      </fill>
    </dxf>
    <dxf>
      <fill>
        <patternFill>
          <bgColor theme="7" tint="0.79998168889431442"/>
        </patternFill>
      </fill>
    </dxf>
    <dxf>
      <fill>
        <patternFill>
          <bgColor theme="1" tint="0.499984740745262"/>
        </patternFill>
      </fill>
    </dxf>
    <dxf>
      <font>
        <strike val="0"/>
        <color auto="1"/>
      </font>
      <fill>
        <patternFill patternType="solid">
          <bgColor rgb="FFFFFF00"/>
        </patternFill>
      </fill>
    </dxf>
    <dxf>
      <font>
        <color auto="1"/>
      </font>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8748" y="561975"/>
          <a:ext cx="2591694" cy="214319"/>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4</xdr:col>
      <xdr:colOff>5233147</xdr:colOff>
      <xdr:row>0</xdr:row>
      <xdr:rowOff>0</xdr:rowOff>
    </xdr:from>
    <xdr:to>
      <xdr:col>5</xdr:col>
      <xdr:colOff>5647</xdr:colOff>
      <xdr:row>2</xdr:row>
      <xdr:rowOff>151853</xdr:rowOff>
    </xdr:to>
    <xdr:sp macro="" textlink="">
      <xdr:nvSpPr>
        <xdr:cNvPr id="37" name="正方形/長方形 4">
          <a:extLst>
            <a:ext uri="{FF2B5EF4-FFF2-40B4-BE49-F238E27FC236}">
              <a16:creationId xmlns:a16="http://schemas.microsoft.com/office/drawing/2014/main" id="{DE81A8B0-B328-4614-BA11-07B756921B00}"/>
            </a:ext>
          </a:extLst>
        </xdr:cNvPr>
        <xdr:cNvSpPr/>
      </xdr:nvSpPr>
      <xdr:spPr>
        <a:xfrm flipH="1">
          <a:off x="13335000" y="0"/>
          <a:ext cx="1440000" cy="432000"/>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defTabSz="742950"/>
          <a:r>
            <a:rPr kumimoji="1" lang="en-US" altLang="ja-JP" sz="1800" b="0">
              <a:solidFill>
                <a:schemeClr val="bg1"/>
              </a:solidFill>
              <a:latin typeface="Meiryo UI" panose="020B0604030504040204" pitchFamily="50" charset="-128"/>
              <a:ea typeface="Meiryo UI" panose="020B0604030504040204" pitchFamily="50" charset="-128"/>
            </a:rPr>
            <a:t>4</a:t>
          </a:r>
          <a:r>
            <a:rPr kumimoji="1" lang="ja-JP" altLang="en-US" sz="1800" b="0">
              <a:solidFill>
                <a:schemeClr val="bg1"/>
              </a:solidFill>
              <a:latin typeface="Meiryo UI" panose="020B0604030504040204" pitchFamily="50" charset="-128"/>
              <a:ea typeface="Meiryo UI" panose="020B0604030504040204" pitchFamily="50" charset="-128"/>
            </a:rPr>
            <a:t>次公募用</a:t>
          </a:r>
          <a:endParaRPr kumimoji="1" lang="en-US" altLang="ja-JP" sz="18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0</xdr:colOff>
      <xdr:row>0</xdr:row>
      <xdr:rowOff>134471</xdr:rowOff>
    </xdr:from>
    <xdr:to>
      <xdr:col>4</xdr:col>
      <xdr:colOff>3594529</xdr:colOff>
      <xdr:row>2</xdr:row>
      <xdr:rowOff>286324</xdr:rowOff>
    </xdr:to>
    <xdr:sp macro="" textlink="">
      <xdr:nvSpPr>
        <xdr:cNvPr id="7" name="テキスト ボックス 6">
          <a:extLst>
            <a:ext uri="{FF2B5EF4-FFF2-40B4-BE49-F238E27FC236}">
              <a16:creationId xmlns:a16="http://schemas.microsoft.com/office/drawing/2014/main" id="{2CC131F6-9514-46F3-A5C1-84CAA1CDB0A1}"/>
            </a:ext>
          </a:extLst>
        </xdr:cNvPr>
        <xdr:cNvSpPr txBox="1"/>
      </xdr:nvSpPr>
      <xdr:spPr>
        <a:xfrm>
          <a:off x="3776382" y="134471"/>
          <a:ext cx="7920000"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要件を満たしていない項目が残存する場合、以下黒枠内にワーニングメッセージが表示されます。</a:t>
          </a:r>
          <a:endParaRPr kumimoji="1" lang="en-US" altLang="ja-JP" sz="1100" b="1">
            <a:solidFill>
              <a:schemeClr val="accent1"/>
            </a:solidFill>
          </a:endParaRPr>
        </a:p>
        <a:p>
          <a:pPr algn="l"/>
          <a:r>
            <a:rPr kumimoji="1" lang="en-US" altLang="ja-JP" sz="1100" b="1">
              <a:solidFill>
                <a:schemeClr val="accent1"/>
              </a:solidFill>
            </a:rPr>
            <a:t>※</a:t>
          </a:r>
          <a:r>
            <a:rPr kumimoji="1" lang="ja-JP" altLang="en-US" sz="1100" b="1">
              <a:solidFill>
                <a:schemeClr val="accent1"/>
              </a:solidFill>
            </a:rPr>
            <a:t>②補助事業情報シートにも同様の欄があります。共にワーニングメッセージが表示されていないことを確認してください。</a:t>
          </a:r>
          <a:endParaRPr kumimoji="1" lang="en-US" altLang="ja-JP" sz="1100" b="1">
            <a:solidFill>
              <a:schemeClr val="accent1"/>
            </a:solidFill>
          </a:endParaRPr>
        </a:p>
      </xdr:txBody>
    </xdr:sp>
    <xdr:clientData/>
  </xdr:twoCellAnchor>
  <xdr:twoCellAnchor>
    <xdr:from>
      <xdr:col>4</xdr:col>
      <xdr:colOff>2532238</xdr:colOff>
      <xdr:row>4</xdr:row>
      <xdr:rowOff>78441</xdr:rowOff>
    </xdr:from>
    <xdr:to>
      <xdr:col>4</xdr:col>
      <xdr:colOff>6591685</xdr:colOff>
      <xdr:row>4</xdr:row>
      <xdr:rowOff>510409</xdr:rowOff>
    </xdr:to>
    <xdr:grpSp>
      <xdr:nvGrpSpPr>
        <xdr:cNvPr id="17" name="グループ化 16">
          <a:extLst>
            <a:ext uri="{FF2B5EF4-FFF2-40B4-BE49-F238E27FC236}">
              <a16:creationId xmlns:a16="http://schemas.microsoft.com/office/drawing/2014/main" id="{15E964EA-7734-4CCF-A8F3-6AD63D2D2F65}"/>
            </a:ext>
          </a:extLst>
        </xdr:cNvPr>
        <xdr:cNvGrpSpPr/>
      </xdr:nvGrpSpPr>
      <xdr:grpSpPr>
        <a:xfrm>
          <a:off x="10733263" y="840441"/>
          <a:ext cx="4059447" cy="431968"/>
          <a:chOff x="9429751" y="685800"/>
          <a:chExt cx="4032000" cy="432000"/>
        </a:xfrm>
      </xdr:grpSpPr>
      <xdr:sp macro="" textlink="">
        <xdr:nvSpPr>
          <xdr:cNvPr id="18" name="テキスト ボックス 17">
            <a:extLst>
              <a:ext uri="{FF2B5EF4-FFF2-40B4-BE49-F238E27FC236}">
                <a16:creationId xmlns:a16="http://schemas.microsoft.com/office/drawing/2014/main" id="{F9A8140F-36F2-A9E6-921C-2142B3F64C6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0" name="テキスト ボックス 19">
            <a:extLst>
              <a:ext uri="{FF2B5EF4-FFF2-40B4-BE49-F238E27FC236}">
                <a16:creationId xmlns:a16="http://schemas.microsoft.com/office/drawing/2014/main" id="{9BFCB29D-23FE-C4C5-9529-4CD9142EF83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1" name="テキスト ボックス 20">
            <a:extLst>
              <a:ext uri="{FF2B5EF4-FFF2-40B4-BE49-F238E27FC236}">
                <a16:creationId xmlns:a16="http://schemas.microsoft.com/office/drawing/2014/main" id="{66AA1756-9849-05DB-4EA0-B40994CBBAE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2" name="正方形/長方形 21">
            <a:extLst>
              <a:ext uri="{FF2B5EF4-FFF2-40B4-BE49-F238E27FC236}">
                <a16:creationId xmlns:a16="http://schemas.microsoft.com/office/drawing/2014/main" id="{CB66C5E4-2B40-2F61-F05F-B299F57012E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テキスト ボックス 22">
            <a:extLst>
              <a:ext uri="{FF2B5EF4-FFF2-40B4-BE49-F238E27FC236}">
                <a16:creationId xmlns:a16="http://schemas.microsoft.com/office/drawing/2014/main" id="{899E9364-5F46-8FE9-91BC-5309EF27F3B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4</xdr:col>
      <xdr:colOff>2127708</xdr:colOff>
      <xdr:row>0</xdr:row>
      <xdr:rowOff>152400</xdr:rowOff>
    </xdr:from>
    <xdr:to>
      <xdr:col>4</xdr:col>
      <xdr:colOff>5004533</xdr:colOff>
      <xdr:row>3</xdr:row>
      <xdr:rowOff>123025</xdr:rowOff>
    </xdr:to>
    <xdr:sp macro="" textlink="">
      <xdr:nvSpPr>
        <xdr:cNvPr id="31" name="吹き出し: 角を丸めた四角形 30">
          <a:extLst>
            <a:ext uri="{FF2B5EF4-FFF2-40B4-BE49-F238E27FC236}">
              <a16:creationId xmlns:a16="http://schemas.microsoft.com/office/drawing/2014/main" id="{BF87092A-DEBD-416C-9B0A-FDD645D129A1}"/>
            </a:ext>
          </a:extLst>
        </xdr:cNvPr>
        <xdr:cNvSpPr/>
      </xdr:nvSpPr>
      <xdr:spPr>
        <a:xfrm>
          <a:off x="10348072" y="152400"/>
          <a:ext cx="2876825" cy="536352"/>
        </a:xfrm>
        <a:prstGeom prst="wedgeRoundRectCallout">
          <a:avLst>
            <a:gd name="adj1" fmla="val -55390"/>
            <a:gd name="adj2" fmla="val 4844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入力内容が要件を満たすとワーニングメッセージが消えます。</a:t>
          </a:r>
          <a:endParaRPr kumimoji="1" lang="en-US" altLang="ja-JP" sz="1200">
            <a:solidFill>
              <a:sysClr val="windowText" lastClr="000000"/>
            </a:solidFill>
            <a:latin typeface="+mn-ea"/>
            <a:ea typeface="+mn-ea"/>
          </a:endParaRPr>
        </a:p>
      </xdr:txBody>
    </xdr:sp>
    <xdr:clientData/>
  </xdr:twoCellAnchor>
  <xdr:twoCellAnchor>
    <xdr:from>
      <xdr:col>4</xdr:col>
      <xdr:colOff>2725723</xdr:colOff>
      <xdr:row>5</xdr:row>
      <xdr:rowOff>226950</xdr:rowOff>
    </xdr:from>
    <xdr:to>
      <xdr:col>7</xdr:col>
      <xdr:colOff>122464</xdr:colOff>
      <xdr:row>7</xdr:row>
      <xdr:rowOff>1017693</xdr:rowOff>
    </xdr:to>
    <xdr:sp macro="" textlink="">
      <xdr:nvSpPr>
        <xdr:cNvPr id="32" name="吹き出し: 角を丸めた四角形 31">
          <a:extLst>
            <a:ext uri="{FF2B5EF4-FFF2-40B4-BE49-F238E27FC236}">
              <a16:creationId xmlns:a16="http://schemas.microsoft.com/office/drawing/2014/main" id="{3925E046-0FA4-43CD-B5DB-4730E59ABF19}"/>
            </a:ext>
          </a:extLst>
        </xdr:cNvPr>
        <xdr:cNvSpPr/>
      </xdr:nvSpPr>
      <xdr:spPr>
        <a:xfrm>
          <a:off x="10930830" y="1587664"/>
          <a:ext cx="5356920" cy="1484708"/>
        </a:xfrm>
        <a:prstGeom prst="wedgeRoundRectCallout">
          <a:avLst>
            <a:gd name="adj1" fmla="val -62019"/>
            <a:gd name="adj2" fmla="val 1198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次公募・</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次公募で採択されている場合、該当を選択してください。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みなし同一法人が採択されている場合も記載してください。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72</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131</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clientData/>
  </xdr:twoCellAnchor>
  <xdr:twoCellAnchor>
    <xdr:from>
      <xdr:col>4</xdr:col>
      <xdr:colOff>5081063</xdr:colOff>
      <xdr:row>7</xdr:row>
      <xdr:rowOff>136741</xdr:rowOff>
    </xdr:from>
    <xdr:to>
      <xdr:col>4</xdr:col>
      <xdr:colOff>5811714</xdr:colOff>
      <xdr:row>7</xdr:row>
      <xdr:rowOff>442328</xdr:rowOff>
    </xdr:to>
    <xdr:sp macro="" textlink="">
      <xdr:nvSpPr>
        <xdr:cNvPr id="33" name="テキスト ボックス 32">
          <a:extLst>
            <a:ext uri="{FF2B5EF4-FFF2-40B4-BE49-F238E27FC236}">
              <a16:creationId xmlns:a16="http://schemas.microsoft.com/office/drawing/2014/main" id="{8BED78CD-D9D8-4EB2-A9E2-F7FC9DFEC09E}"/>
            </a:ext>
          </a:extLst>
        </xdr:cNvPr>
        <xdr:cNvSpPr txBox="1"/>
      </xdr:nvSpPr>
      <xdr:spPr>
        <a:xfrm>
          <a:off x="13301427" y="2191832"/>
          <a:ext cx="730651" cy="30558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4</xdr:col>
      <xdr:colOff>6243147</xdr:colOff>
      <xdr:row>7</xdr:row>
      <xdr:rowOff>130070</xdr:rowOff>
    </xdr:from>
    <xdr:to>
      <xdr:col>6</xdr:col>
      <xdr:colOff>17656</xdr:colOff>
      <xdr:row>7</xdr:row>
      <xdr:rowOff>440298</xdr:rowOff>
    </xdr:to>
    <xdr:sp macro="" textlink="">
      <xdr:nvSpPr>
        <xdr:cNvPr id="34" name="テキスト ボックス 33">
          <a:extLst>
            <a:ext uri="{FF2B5EF4-FFF2-40B4-BE49-F238E27FC236}">
              <a16:creationId xmlns:a16="http://schemas.microsoft.com/office/drawing/2014/main" id="{517D901D-750A-4DB3-A746-704661094BCA}"/>
            </a:ext>
          </a:extLst>
        </xdr:cNvPr>
        <xdr:cNvSpPr txBox="1"/>
      </xdr:nvSpPr>
      <xdr:spPr>
        <a:xfrm>
          <a:off x="14463511" y="2185161"/>
          <a:ext cx="1082781" cy="310228"/>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4</xdr:col>
      <xdr:colOff>6410860</xdr:colOff>
      <xdr:row>9</xdr:row>
      <xdr:rowOff>96446</xdr:rowOff>
    </xdr:from>
    <xdr:to>
      <xdr:col>12</xdr:col>
      <xdr:colOff>235979</xdr:colOff>
      <xdr:row>10</xdr:row>
      <xdr:rowOff>702335</xdr:rowOff>
    </xdr:to>
    <xdr:sp macro="" textlink="">
      <xdr:nvSpPr>
        <xdr:cNvPr id="35" name="吹き出し: 角を丸めた四角形 34">
          <a:extLst>
            <a:ext uri="{FF2B5EF4-FFF2-40B4-BE49-F238E27FC236}">
              <a16:creationId xmlns:a16="http://schemas.microsoft.com/office/drawing/2014/main" id="{4832783B-2999-4CAB-B825-8F6C3C08DB3F}"/>
            </a:ext>
          </a:extLst>
        </xdr:cNvPr>
        <xdr:cNvSpPr/>
      </xdr:nvSpPr>
      <xdr:spPr>
        <a:xfrm>
          <a:off x="14631224" y="3548537"/>
          <a:ext cx="5081937" cy="1067707"/>
        </a:xfrm>
        <a:prstGeom prst="wedgeRoundRectCallout">
          <a:avLst>
            <a:gd name="adj1" fmla="val -57446"/>
            <a:gd name="adj2" fmla="val -4226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p>
        <a:p>
          <a:pPr algn="l"/>
          <a:r>
            <a:rPr kumimoji="1" lang="ja-JP" altLang="en-US" sz="1200">
              <a:solidFill>
                <a:sysClr val="windowText" lastClr="000000"/>
              </a:solidFill>
              <a:latin typeface="+mn-ea"/>
              <a:ea typeface="+mn-ea"/>
            </a:rPr>
            <a:t>に変更されます。</a:t>
          </a:r>
        </a:p>
        <a:p>
          <a:pPr algn="l"/>
          <a:r>
            <a:rPr kumimoji="1" lang="ja-JP" altLang="en-US" sz="1200">
              <a:solidFill>
                <a:sysClr val="windowText" lastClr="000000"/>
              </a:solidFill>
              <a:latin typeface="+mn-ea"/>
              <a:ea typeface="+mn-ea"/>
            </a:rPr>
            <a:t>・③経費明細書シートの</a:t>
          </a:r>
          <a:r>
            <a:rPr kumimoji="1" lang="en-US" altLang="ja-JP" sz="1200">
              <a:solidFill>
                <a:sysClr val="windowText" lastClr="000000"/>
              </a:solidFill>
              <a:latin typeface="+mn-ea"/>
              <a:ea typeface="+mn-ea"/>
            </a:rPr>
            <a:t>(C-2)</a:t>
          </a:r>
          <a:r>
            <a:rPr kumimoji="1" lang="ja-JP" altLang="en-US" sz="1200">
              <a:solidFill>
                <a:sysClr val="windowText" lastClr="000000"/>
              </a:solidFill>
              <a:latin typeface="+mn-ea"/>
              <a:ea typeface="+mn-ea"/>
            </a:rPr>
            <a:t>補助率交付申請額　</a:t>
          </a:r>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の場合</a:t>
          </a:r>
        </a:p>
      </xdr:txBody>
    </xdr:sp>
    <xdr:clientData/>
  </xdr:twoCellAnchor>
  <xdr:twoCellAnchor>
    <xdr:from>
      <xdr:col>8</xdr:col>
      <xdr:colOff>60395</xdr:colOff>
      <xdr:row>9</xdr:row>
      <xdr:rowOff>156245</xdr:rowOff>
    </xdr:from>
    <xdr:to>
      <xdr:col>9</xdr:col>
      <xdr:colOff>132047</xdr:colOff>
      <xdr:row>9</xdr:row>
      <xdr:rowOff>448225</xdr:rowOff>
    </xdr:to>
    <xdr:sp macro="" textlink="">
      <xdr:nvSpPr>
        <xdr:cNvPr id="36" name="テキスト ボックス 35">
          <a:extLst>
            <a:ext uri="{FF2B5EF4-FFF2-40B4-BE49-F238E27FC236}">
              <a16:creationId xmlns:a16="http://schemas.microsoft.com/office/drawing/2014/main" id="{41398614-88F7-4960-B3AA-3A4C29243057}"/>
            </a:ext>
          </a:extLst>
        </xdr:cNvPr>
        <xdr:cNvSpPr txBox="1"/>
      </xdr:nvSpPr>
      <xdr:spPr>
        <a:xfrm>
          <a:off x="16905213" y="3608336"/>
          <a:ext cx="729743" cy="29198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10</xdr:col>
      <xdr:colOff>12433</xdr:colOff>
      <xdr:row>9</xdr:row>
      <xdr:rowOff>153656</xdr:rowOff>
    </xdr:from>
    <xdr:to>
      <xdr:col>11</xdr:col>
      <xdr:colOff>428345</xdr:colOff>
      <xdr:row>10</xdr:row>
      <xdr:rowOff>7509</xdr:rowOff>
    </xdr:to>
    <xdr:sp macro="" textlink="">
      <xdr:nvSpPr>
        <xdr:cNvPr id="38" name="テキスト ボックス 37">
          <a:extLst>
            <a:ext uri="{FF2B5EF4-FFF2-40B4-BE49-F238E27FC236}">
              <a16:creationId xmlns:a16="http://schemas.microsoft.com/office/drawing/2014/main" id="{B5969BC4-BF1E-4944-B1A2-23B0A55CD043}"/>
            </a:ext>
          </a:extLst>
        </xdr:cNvPr>
        <xdr:cNvSpPr txBox="1"/>
      </xdr:nvSpPr>
      <xdr:spPr>
        <a:xfrm>
          <a:off x="18173433" y="3605747"/>
          <a:ext cx="1074003" cy="315671"/>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4</xdr:col>
      <xdr:colOff>285648</xdr:colOff>
      <xdr:row>12</xdr:row>
      <xdr:rowOff>632623</xdr:rowOff>
    </xdr:from>
    <xdr:to>
      <xdr:col>4</xdr:col>
      <xdr:colOff>3339298</xdr:colOff>
      <xdr:row>13</xdr:row>
      <xdr:rowOff>140404</xdr:rowOff>
    </xdr:to>
    <xdr:sp macro="" textlink="">
      <xdr:nvSpPr>
        <xdr:cNvPr id="39" name="吹き出し: 角を丸めた四角形 27">
          <a:extLst>
            <a:ext uri="{FF2B5EF4-FFF2-40B4-BE49-F238E27FC236}">
              <a16:creationId xmlns:a16="http://schemas.microsoft.com/office/drawing/2014/main" id="{D4BC93C3-56ED-4D7A-AB0A-B70D1B582B96}"/>
            </a:ext>
          </a:extLst>
        </xdr:cNvPr>
        <xdr:cNvSpPr/>
      </xdr:nvSpPr>
      <xdr:spPr>
        <a:xfrm>
          <a:off x="8506012" y="6555441"/>
          <a:ext cx="3053650" cy="1077963"/>
        </a:xfrm>
        <a:prstGeom prst="wedgeRoundRectCallout">
          <a:avLst>
            <a:gd name="adj1" fmla="val -34731"/>
            <a:gd name="adj2" fmla="val 670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・②補助事業情報シートの「提出日」</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シートも同様</a:t>
          </a:r>
          <a:endParaRPr kumimoji="1" lang="en-US" altLang="ja-JP" sz="1200">
            <a:solidFill>
              <a:sysClr val="windowText" lastClr="000000"/>
            </a:solidFill>
            <a:latin typeface="+mn-ea"/>
            <a:ea typeface="+mn-ea"/>
          </a:endParaRPr>
        </a:p>
      </xdr:txBody>
    </xdr:sp>
    <xdr:clientData/>
  </xdr:twoCellAnchor>
  <xdr:twoCellAnchor>
    <xdr:from>
      <xdr:col>4</xdr:col>
      <xdr:colOff>312551</xdr:colOff>
      <xdr:row>17</xdr:row>
      <xdr:rowOff>70633</xdr:rowOff>
    </xdr:from>
    <xdr:to>
      <xdr:col>4</xdr:col>
      <xdr:colOff>3837174</xdr:colOff>
      <xdr:row>20</xdr:row>
      <xdr:rowOff>75622</xdr:rowOff>
    </xdr:to>
    <xdr:sp macro="" textlink="">
      <xdr:nvSpPr>
        <xdr:cNvPr id="40" name="吹き出し: 角を丸めた四角形 39">
          <a:extLst>
            <a:ext uri="{FF2B5EF4-FFF2-40B4-BE49-F238E27FC236}">
              <a16:creationId xmlns:a16="http://schemas.microsoft.com/office/drawing/2014/main" id="{CE01069E-0456-4345-815C-DC5BCEFE9FAC}"/>
            </a:ext>
          </a:extLst>
        </xdr:cNvPr>
        <xdr:cNvSpPr/>
      </xdr:nvSpPr>
      <xdr:spPr>
        <a:xfrm>
          <a:off x="8532915" y="9410906"/>
          <a:ext cx="3524623" cy="1390443"/>
        </a:xfrm>
        <a:prstGeom prst="wedgeRoundRectCallout">
          <a:avLst>
            <a:gd name="adj1" fmla="val -54317"/>
            <a:gd name="adj2" fmla="val -6836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・①申請者情報シートの「事業者名」（</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次公募の採択、中堅企業要件達成）</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endParaRPr kumimoji="1" lang="en-US" altLang="ja-JP" sz="1200">
            <a:solidFill>
              <a:sysClr val="windowText" lastClr="000000"/>
            </a:solidFill>
            <a:latin typeface="+mn-ea"/>
            <a:ea typeface="+mn-ea"/>
          </a:endParaRPr>
        </a:p>
      </xdr:txBody>
    </xdr:sp>
    <xdr:clientData/>
  </xdr:twoCellAnchor>
  <xdr:twoCellAnchor>
    <xdr:from>
      <xdr:col>2</xdr:col>
      <xdr:colOff>862610</xdr:colOff>
      <xdr:row>33</xdr:row>
      <xdr:rowOff>410988</xdr:rowOff>
    </xdr:from>
    <xdr:to>
      <xdr:col>11</xdr:col>
      <xdr:colOff>91058</xdr:colOff>
      <xdr:row>44</xdr:row>
      <xdr:rowOff>116969</xdr:rowOff>
    </xdr:to>
    <xdr:grpSp>
      <xdr:nvGrpSpPr>
        <xdr:cNvPr id="41" name="グループ化 30">
          <a:extLst>
            <a:ext uri="{FF2B5EF4-FFF2-40B4-BE49-F238E27FC236}">
              <a16:creationId xmlns:a16="http://schemas.microsoft.com/office/drawing/2014/main" id="{A547EB86-8F26-4EEB-B39F-A49340D6B86E}"/>
            </a:ext>
          </a:extLst>
        </xdr:cNvPr>
        <xdr:cNvGrpSpPr/>
      </xdr:nvGrpSpPr>
      <xdr:grpSpPr>
        <a:xfrm>
          <a:off x="2319935" y="17013063"/>
          <a:ext cx="16744923" cy="4277981"/>
          <a:chOff x="2142150" y="14754999"/>
          <a:chExt cx="16430897" cy="4523048"/>
        </a:xfrm>
      </xdr:grpSpPr>
      <xdr:sp macro="" textlink="">
        <xdr:nvSpPr>
          <xdr:cNvPr id="42" name="吹き出し: 角を丸めた四角形 31">
            <a:extLst>
              <a:ext uri="{FF2B5EF4-FFF2-40B4-BE49-F238E27FC236}">
                <a16:creationId xmlns:a16="http://schemas.microsoft.com/office/drawing/2014/main" id="{91751FAA-A9AB-EB51-2A73-5F5E6B13E914}"/>
              </a:ext>
            </a:extLst>
          </xdr:cNvPr>
          <xdr:cNvSpPr/>
        </xdr:nvSpPr>
        <xdr:spPr>
          <a:xfrm>
            <a:off x="8254035" y="14754999"/>
            <a:ext cx="5040000" cy="1016091"/>
          </a:xfrm>
          <a:prstGeom prst="wedgeRoundRectCallout">
            <a:avLst>
              <a:gd name="adj1" fmla="val -51010"/>
              <a:gd name="adj2" fmla="val 7734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43</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69</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43" name="テキスト ボックス 32">
            <a:extLst>
              <a:ext uri="{FF2B5EF4-FFF2-40B4-BE49-F238E27FC236}">
                <a16:creationId xmlns:a16="http://schemas.microsoft.com/office/drawing/2014/main" id="{AAE2E8A3-6722-A766-4162-D0BB6D32FDF3}"/>
              </a:ext>
            </a:extLst>
          </xdr:cNvPr>
          <xdr:cNvSpPr txBox="1"/>
        </xdr:nvSpPr>
        <xdr:spPr>
          <a:xfrm>
            <a:off x="10602796" y="14796657"/>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4" name="テキスト ボックス 33">
            <a:extLst>
              <a:ext uri="{FF2B5EF4-FFF2-40B4-BE49-F238E27FC236}">
                <a16:creationId xmlns:a16="http://schemas.microsoft.com/office/drawing/2014/main" id="{30387DD5-6D13-8851-2CDA-03239F65F168}"/>
              </a:ext>
            </a:extLst>
          </xdr:cNvPr>
          <xdr:cNvSpPr txBox="1"/>
        </xdr:nvSpPr>
        <xdr:spPr>
          <a:xfrm>
            <a:off x="11758519" y="14801570"/>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45" name="吹き出し: 角を丸めた四角形 34">
            <a:extLst>
              <a:ext uri="{FF2B5EF4-FFF2-40B4-BE49-F238E27FC236}">
                <a16:creationId xmlns:a16="http://schemas.microsoft.com/office/drawing/2014/main" id="{560A1444-4387-3D40-452B-4E6D52BBD7C7}"/>
              </a:ext>
            </a:extLst>
          </xdr:cNvPr>
          <xdr:cNvSpPr/>
        </xdr:nvSpPr>
        <xdr:spPr>
          <a:xfrm>
            <a:off x="13533047" y="15193560"/>
            <a:ext cx="5040000" cy="1016091"/>
          </a:xfrm>
          <a:prstGeom prst="wedgeRoundRectCallout">
            <a:avLst>
              <a:gd name="adj1" fmla="val -43466"/>
              <a:gd name="adj2" fmla="val 8276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134</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153</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46" name="吹き出し: 角を丸めた四角形 35">
            <a:extLst>
              <a:ext uri="{FF2B5EF4-FFF2-40B4-BE49-F238E27FC236}">
                <a16:creationId xmlns:a16="http://schemas.microsoft.com/office/drawing/2014/main" id="{F5BC61A3-915E-BB4B-47C1-90D616274F0F}"/>
              </a:ext>
            </a:extLst>
          </xdr:cNvPr>
          <xdr:cNvSpPr/>
        </xdr:nvSpPr>
        <xdr:spPr>
          <a:xfrm>
            <a:off x="8607091" y="16822194"/>
            <a:ext cx="5040000" cy="1016091"/>
          </a:xfrm>
          <a:prstGeom prst="wedgeRoundRectCallout">
            <a:avLst>
              <a:gd name="adj1" fmla="val -56668"/>
              <a:gd name="adj2" fmla="val -29090"/>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に変更されます。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156</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165</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xdr:txBody>
      </xdr:sp>
      <xdr:sp macro="" textlink="">
        <xdr:nvSpPr>
          <xdr:cNvPr id="47" name="テキスト ボックス 36">
            <a:extLst>
              <a:ext uri="{FF2B5EF4-FFF2-40B4-BE49-F238E27FC236}">
                <a16:creationId xmlns:a16="http://schemas.microsoft.com/office/drawing/2014/main" id="{10A40222-4F45-B203-5971-0E38D2A76C93}"/>
              </a:ext>
            </a:extLst>
          </xdr:cNvPr>
          <xdr:cNvSpPr txBox="1"/>
        </xdr:nvSpPr>
        <xdr:spPr>
          <a:xfrm>
            <a:off x="10928693" y="16863853"/>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8" name="テキスト ボックス 37">
            <a:extLst>
              <a:ext uri="{FF2B5EF4-FFF2-40B4-BE49-F238E27FC236}">
                <a16:creationId xmlns:a16="http://schemas.microsoft.com/office/drawing/2014/main" id="{5EDCBD8E-5DBB-D37F-EC65-C09A8504E31F}"/>
              </a:ext>
            </a:extLst>
          </xdr:cNvPr>
          <xdr:cNvSpPr txBox="1"/>
        </xdr:nvSpPr>
        <xdr:spPr>
          <a:xfrm>
            <a:off x="15871471" y="15248429"/>
            <a:ext cx="720336" cy="30162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9" name="テキスト ボックス 38">
            <a:extLst>
              <a:ext uri="{FF2B5EF4-FFF2-40B4-BE49-F238E27FC236}">
                <a16:creationId xmlns:a16="http://schemas.microsoft.com/office/drawing/2014/main" id="{4D3254D8-2A6F-B228-0D3A-FEE369C2984B}"/>
              </a:ext>
            </a:extLst>
          </xdr:cNvPr>
          <xdr:cNvSpPr txBox="1"/>
        </xdr:nvSpPr>
        <xdr:spPr>
          <a:xfrm>
            <a:off x="17040773" y="15239651"/>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50" name="吹き出し: 角を丸めた四角形 16">
            <a:extLst>
              <a:ext uri="{FF2B5EF4-FFF2-40B4-BE49-F238E27FC236}">
                <a16:creationId xmlns:a16="http://schemas.microsoft.com/office/drawing/2014/main" id="{BEDC8DA1-ECF1-C5BE-FC42-CECFCE8ED8AE}"/>
              </a:ext>
            </a:extLst>
          </xdr:cNvPr>
          <xdr:cNvSpPr/>
        </xdr:nvSpPr>
        <xdr:spPr>
          <a:xfrm>
            <a:off x="2142150" y="17693308"/>
            <a:ext cx="5715301" cy="1584739"/>
          </a:xfrm>
          <a:prstGeom prst="wedgeRoundRectCallout">
            <a:avLst>
              <a:gd name="adj1" fmla="val -47159"/>
              <a:gd name="adj2" fmla="val -6716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採択時に様式</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スライド）の事務局</a:t>
            </a:r>
            <a:r>
              <a:rPr kumimoji="1" lang="en-US" altLang="ja-JP" sz="1200">
                <a:solidFill>
                  <a:sysClr val="windowText" lastClr="000000"/>
                </a:solidFill>
                <a:latin typeface="+mn-ea"/>
                <a:ea typeface="+mn-ea"/>
              </a:rPr>
              <a:t>HP</a:t>
            </a:r>
            <a:r>
              <a:rPr kumimoji="1" lang="ja-JP" altLang="en-US" sz="1200">
                <a:solidFill>
                  <a:sysClr val="windowText" lastClr="000000"/>
                </a:solidFill>
                <a:latin typeface="+mn-ea"/>
                <a:ea typeface="+mn-ea"/>
              </a:rPr>
              <a:t>への公表について、</a:t>
            </a:r>
          </a:p>
          <a:p>
            <a:pPr algn="l"/>
            <a:r>
              <a:rPr kumimoji="1" lang="ja-JP" altLang="en-US" sz="1200">
                <a:solidFill>
                  <a:sysClr val="windowText" lastClr="000000"/>
                </a:solidFill>
                <a:latin typeface="+mn-ea"/>
                <a:ea typeface="+mn-ea"/>
              </a:rPr>
              <a:t>役員</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人当たりの給与支給額を非公表にすることを希望する場合は</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非公表</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を選択してください。</a:t>
            </a:r>
          </a:p>
          <a:p>
            <a:pPr algn="l"/>
            <a:r>
              <a:rPr kumimoji="1" lang="ja-JP" altLang="en-US" sz="1200">
                <a:solidFill>
                  <a:sysClr val="windowText" lastClr="000000"/>
                </a:solidFill>
                <a:latin typeface="+mn-ea"/>
                <a:ea typeface="+mn-ea"/>
              </a:rPr>
              <a:t>ただし審査に必要な情報となるため、様式</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及び様式</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への記載は必須となります。</a:t>
            </a:r>
          </a:p>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HP</a:t>
            </a:r>
            <a:r>
              <a:rPr kumimoji="1" lang="ja-JP" altLang="en-US" sz="1200">
                <a:solidFill>
                  <a:sysClr val="windowText" lastClr="000000"/>
                </a:solidFill>
                <a:latin typeface="+mn-ea"/>
                <a:ea typeface="+mn-ea"/>
              </a:rPr>
              <a:t>公表時に事務局にて、当該情報を削除して掲載いたします。）</a:t>
            </a:r>
          </a:p>
        </xdr:txBody>
      </xdr:sp>
      <xdr:sp macro="" textlink="">
        <xdr:nvSpPr>
          <xdr:cNvPr id="51" name="テキスト ボックス 33">
            <a:extLst>
              <a:ext uri="{FF2B5EF4-FFF2-40B4-BE49-F238E27FC236}">
                <a16:creationId xmlns:a16="http://schemas.microsoft.com/office/drawing/2014/main" id="{64F6089D-891B-F397-D8C7-F2D44BD0A1A3}"/>
              </a:ext>
            </a:extLst>
          </xdr:cNvPr>
          <xdr:cNvSpPr txBox="1"/>
        </xdr:nvSpPr>
        <xdr:spPr>
          <a:xfrm>
            <a:off x="12101842" y="16874648"/>
            <a:ext cx="1079400" cy="306305"/>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4</xdr:col>
      <xdr:colOff>1334201</xdr:colOff>
      <xdr:row>43</xdr:row>
      <xdr:rowOff>256598</xdr:rowOff>
    </xdr:from>
    <xdr:to>
      <xdr:col>4</xdr:col>
      <xdr:colOff>6387726</xdr:colOff>
      <xdr:row>48</xdr:row>
      <xdr:rowOff>309707</xdr:rowOff>
    </xdr:to>
    <xdr:sp macro="" textlink="">
      <xdr:nvSpPr>
        <xdr:cNvPr id="52" name="吹き出し: 角を丸めた四角形 51">
          <a:extLst>
            <a:ext uri="{FF2B5EF4-FFF2-40B4-BE49-F238E27FC236}">
              <a16:creationId xmlns:a16="http://schemas.microsoft.com/office/drawing/2014/main" id="{E55CB8DE-FB2B-4F6A-B516-F14AFA658ACD}"/>
            </a:ext>
          </a:extLst>
        </xdr:cNvPr>
        <xdr:cNvSpPr/>
      </xdr:nvSpPr>
      <xdr:spPr>
        <a:xfrm>
          <a:off x="9554565" y="21142325"/>
          <a:ext cx="5053525" cy="2362200"/>
        </a:xfrm>
        <a:prstGeom prst="wedgeRoundRectCallout">
          <a:avLst>
            <a:gd name="adj1" fmla="val -34010"/>
            <a:gd name="adj2" fmla="val -7025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・①申請者情報シートの「事業者名」（</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次公募の採択、中堅企業要件達成）</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また、入力に応じて③経費明細書シートの該当項目が</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申請者</a:t>
          </a:r>
          <a:r>
            <a:rPr kumimoji="1" lang="en-US" altLang="ja-JP" sz="1200">
              <a:solidFill>
                <a:sysClr val="windowText" lastClr="000000"/>
              </a:solidFill>
              <a:latin typeface="+mn-ea"/>
              <a:ea typeface="+mn-ea"/>
            </a:rPr>
            <a:t>3~10</a:t>
          </a:r>
          <a:r>
            <a:rPr kumimoji="1" lang="ja-JP" altLang="en-US" sz="1200">
              <a:solidFill>
                <a:sysClr val="windowText" lastClr="000000"/>
              </a:solidFill>
              <a:latin typeface="+mn-ea"/>
              <a:ea typeface="+mn-ea"/>
            </a:rPr>
            <a:t>も同様</a:t>
          </a:r>
          <a:endParaRPr kumimoji="1" lang="en-US" altLang="ja-JP" sz="1200">
            <a:solidFill>
              <a:sysClr val="windowText" lastClr="000000"/>
            </a:solidFill>
            <a:latin typeface="+mn-ea"/>
            <a:ea typeface="+mn-ea"/>
          </a:endParaRPr>
        </a:p>
      </xdr:txBody>
    </xdr:sp>
    <xdr:clientData/>
  </xdr:twoCellAnchor>
  <xdr:twoCellAnchor>
    <xdr:from>
      <xdr:col>4</xdr:col>
      <xdr:colOff>1777334</xdr:colOff>
      <xdr:row>47</xdr:row>
      <xdr:rowOff>57602</xdr:rowOff>
    </xdr:from>
    <xdr:to>
      <xdr:col>4</xdr:col>
      <xdr:colOff>2515024</xdr:colOff>
      <xdr:row>47</xdr:row>
      <xdr:rowOff>368300</xdr:rowOff>
    </xdr:to>
    <xdr:sp macro="" textlink="">
      <xdr:nvSpPr>
        <xdr:cNvPr id="53" name="テキスト ボックス 52">
          <a:extLst>
            <a:ext uri="{FF2B5EF4-FFF2-40B4-BE49-F238E27FC236}">
              <a16:creationId xmlns:a16="http://schemas.microsoft.com/office/drawing/2014/main" id="{C18075DB-733F-4043-BA09-2D47476A7924}"/>
            </a:ext>
          </a:extLst>
        </xdr:cNvPr>
        <xdr:cNvSpPr txBox="1"/>
      </xdr:nvSpPr>
      <xdr:spPr>
        <a:xfrm>
          <a:off x="9997698" y="22790602"/>
          <a:ext cx="737690" cy="310698"/>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clientData/>
  </xdr:twoCellAnchor>
  <xdr:twoCellAnchor>
    <xdr:from>
      <xdr:col>4</xdr:col>
      <xdr:colOff>5173573</xdr:colOff>
      <xdr:row>46</xdr:row>
      <xdr:rowOff>270481</xdr:rowOff>
    </xdr:from>
    <xdr:to>
      <xdr:col>4</xdr:col>
      <xdr:colOff>6271065</xdr:colOff>
      <xdr:row>47</xdr:row>
      <xdr:rowOff>91234</xdr:rowOff>
    </xdr:to>
    <xdr:sp macro="" textlink="">
      <xdr:nvSpPr>
        <xdr:cNvPr id="54" name="テキスト ボックス 53">
          <a:extLst>
            <a:ext uri="{FF2B5EF4-FFF2-40B4-BE49-F238E27FC236}">
              <a16:creationId xmlns:a16="http://schemas.microsoft.com/office/drawing/2014/main" id="{A8E846E3-4CA4-491A-A2BF-ACB2BD959066}"/>
            </a:ext>
          </a:extLst>
        </xdr:cNvPr>
        <xdr:cNvSpPr txBox="1"/>
      </xdr:nvSpPr>
      <xdr:spPr>
        <a:xfrm>
          <a:off x="13393937" y="22541663"/>
          <a:ext cx="1097492" cy="282571"/>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clientData/>
  </xdr:twoCellAnchor>
  <xdr:twoCellAnchor>
    <xdr:from>
      <xdr:col>4</xdr:col>
      <xdr:colOff>54717</xdr:colOff>
      <xdr:row>49</xdr:row>
      <xdr:rowOff>358693</xdr:rowOff>
    </xdr:from>
    <xdr:to>
      <xdr:col>4</xdr:col>
      <xdr:colOff>6436242</xdr:colOff>
      <xdr:row>51</xdr:row>
      <xdr:rowOff>46182</xdr:rowOff>
    </xdr:to>
    <xdr:sp macro="" textlink="">
      <xdr:nvSpPr>
        <xdr:cNvPr id="55" name="四角形: 角を丸くする 54">
          <a:extLst>
            <a:ext uri="{FF2B5EF4-FFF2-40B4-BE49-F238E27FC236}">
              <a16:creationId xmlns:a16="http://schemas.microsoft.com/office/drawing/2014/main" id="{84CAD25C-4E85-4752-9B76-510AF7044F50}"/>
            </a:ext>
          </a:extLst>
        </xdr:cNvPr>
        <xdr:cNvSpPr/>
      </xdr:nvSpPr>
      <xdr:spPr>
        <a:xfrm>
          <a:off x="8275081" y="24015329"/>
          <a:ext cx="6381525" cy="611126"/>
        </a:xfrm>
        <a:prstGeom prst="roundRect">
          <a:avLst>
            <a:gd name="adj" fmla="val 5966"/>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0">
              <a:solidFill>
                <a:sysClr val="windowText" lastClr="000000"/>
              </a:solidFill>
              <a:latin typeface="+mn-ea"/>
              <a:ea typeface="+mn-ea"/>
            </a:rPr>
            <a:t>補助対象外の申請者も含めて全申請者を入力し、合わせて②補助事業情報</a:t>
          </a:r>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事業者</a:t>
          </a:r>
          <a:r>
            <a:rPr kumimoji="1" lang="en-US" altLang="ja-JP" sz="1200" b="0">
              <a:solidFill>
                <a:sysClr val="windowText" lastClr="000000"/>
              </a:solidFill>
              <a:latin typeface="+mn-ea"/>
              <a:ea typeface="+mn-ea"/>
            </a:rPr>
            <a:t>2~10)</a:t>
          </a:r>
          <a:r>
            <a:rPr kumimoji="1" lang="ja-JP" altLang="en-US" sz="1200" b="0">
              <a:solidFill>
                <a:sysClr val="windowText" lastClr="000000"/>
              </a:solidFill>
              <a:latin typeface="+mn-ea"/>
              <a:ea typeface="+mn-ea"/>
            </a:rPr>
            <a:t>シート、③経費明細書シートを入力してください。</a:t>
          </a:r>
          <a:endParaRPr kumimoji="1" lang="en-US" altLang="ja-JP" sz="1200" b="0">
            <a:solidFill>
              <a:sysClr val="windowText" lastClr="000000"/>
            </a:solidFill>
            <a:latin typeface="+mn-ea"/>
            <a:ea typeface="+mn-ea"/>
          </a:endParaRPr>
        </a:p>
      </xdr:txBody>
    </xdr:sp>
    <xdr:clientData/>
  </xdr:twoCellAnchor>
  <xdr:twoCellAnchor>
    <xdr:from>
      <xdr:col>0</xdr:col>
      <xdr:colOff>196272</xdr:colOff>
      <xdr:row>218</xdr:row>
      <xdr:rowOff>202995</xdr:rowOff>
    </xdr:from>
    <xdr:to>
      <xdr:col>4</xdr:col>
      <xdr:colOff>2272795</xdr:colOff>
      <xdr:row>220</xdr:row>
      <xdr:rowOff>45747</xdr:rowOff>
    </xdr:to>
    <xdr:sp macro="" textlink="">
      <xdr:nvSpPr>
        <xdr:cNvPr id="59" name="四角形: 角を丸くする 58">
          <a:extLst>
            <a:ext uri="{FF2B5EF4-FFF2-40B4-BE49-F238E27FC236}">
              <a16:creationId xmlns:a16="http://schemas.microsoft.com/office/drawing/2014/main" id="{6560A5A8-9357-450E-ABC3-735B0DE0F36D}"/>
            </a:ext>
          </a:extLst>
        </xdr:cNvPr>
        <xdr:cNvSpPr/>
      </xdr:nvSpPr>
      <xdr:spPr>
        <a:xfrm>
          <a:off x="196272" y="46257813"/>
          <a:ext cx="10296887" cy="327661"/>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2</xdr:col>
      <xdr:colOff>576778</xdr:colOff>
      <xdr:row>220</xdr:row>
      <xdr:rowOff>149994</xdr:rowOff>
    </xdr:from>
    <xdr:to>
      <xdr:col>3</xdr:col>
      <xdr:colOff>28245</xdr:colOff>
      <xdr:row>222</xdr:row>
      <xdr:rowOff>258029</xdr:rowOff>
    </xdr:to>
    <xdr:sp macro="" textlink="">
      <xdr:nvSpPr>
        <xdr:cNvPr id="60" name="吹き出し: 角を丸めた四角形 59">
          <a:extLst>
            <a:ext uri="{FF2B5EF4-FFF2-40B4-BE49-F238E27FC236}">
              <a16:creationId xmlns:a16="http://schemas.microsoft.com/office/drawing/2014/main" id="{5BB3D259-DE85-4C3C-B471-2A7A4EEF9B0A}"/>
            </a:ext>
          </a:extLst>
        </xdr:cNvPr>
        <xdr:cNvSpPr/>
      </xdr:nvSpPr>
      <xdr:spPr>
        <a:xfrm>
          <a:off x="2043051" y="46689721"/>
          <a:ext cx="1876012" cy="569853"/>
        </a:xfrm>
        <a:prstGeom prst="wedgeRoundRectCallout">
          <a:avLst>
            <a:gd name="adj1" fmla="val -39769"/>
            <a:gd name="adj2" fmla="val -9381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5</xdr:col>
      <xdr:colOff>158505</xdr:colOff>
      <xdr:row>50</xdr:row>
      <xdr:rowOff>371927</xdr:rowOff>
    </xdr:from>
    <xdr:to>
      <xdr:col>12</xdr:col>
      <xdr:colOff>636474</xdr:colOff>
      <xdr:row>79</xdr:row>
      <xdr:rowOff>138545</xdr:rowOff>
    </xdr:to>
    <xdr:grpSp>
      <xdr:nvGrpSpPr>
        <xdr:cNvPr id="63" name="グループ化 62">
          <a:extLst>
            <a:ext uri="{FF2B5EF4-FFF2-40B4-BE49-F238E27FC236}">
              <a16:creationId xmlns:a16="http://schemas.microsoft.com/office/drawing/2014/main" id="{22378AB6-253E-857E-6777-699B30EE7932}"/>
            </a:ext>
          </a:extLst>
        </xdr:cNvPr>
        <xdr:cNvGrpSpPr/>
      </xdr:nvGrpSpPr>
      <xdr:grpSpPr>
        <a:xfrm>
          <a:off x="15017505" y="24289202"/>
          <a:ext cx="5278569" cy="4338618"/>
          <a:chOff x="14798141" y="23659110"/>
          <a:chExt cx="5084606" cy="5000171"/>
        </a:xfrm>
      </xdr:grpSpPr>
      <xdr:sp macro="" textlink="">
        <xdr:nvSpPr>
          <xdr:cNvPr id="56" name="吹き出し: 角を丸めた四角形 55">
            <a:extLst>
              <a:ext uri="{FF2B5EF4-FFF2-40B4-BE49-F238E27FC236}">
                <a16:creationId xmlns:a16="http://schemas.microsoft.com/office/drawing/2014/main" id="{E45E36F6-0B12-4CC7-91CD-0EF51B066622}"/>
              </a:ext>
            </a:extLst>
          </xdr:cNvPr>
          <xdr:cNvSpPr/>
        </xdr:nvSpPr>
        <xdr:spPr>
          <a:xfrm>
            <a:off x="14802304" y="25450801"/>
            <a:ext cx="5080443" cy="1189264"/>
          </a:xfrm>
          <a:prstGeom prst="wedgeRoundRectCallout">
            <a:avLst>
              <a:gd name="adj1" fmla="val -60889"/>
              <a:gd name="adj2" fmla="val -5019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入力に応じて以下の該当項目が　　　　　　から</a:t>
            </a:r>
          </a:p>
          <a:p>
            <a:pPr algn="l"/>
            <a:r>
              <a:rPr kumimoji="1" lang="ja-JP" altLang="en-US" sz="1200">
                <a:solidFill>
                  <a:sysClr val="windowText" lastClr="000000"/>
                </a:solidFill>
                <a:latin typeface="+mn-ea"/>
                <a:ea typeface="+mn-ea"/>
              </a:rPr>
              <a:t>に変更されます。</a:t>
            </a:r>
          </a:p>
          <a:p>
            <a:pPr algn="l"/>
            <a:r>
              <a:rPr kumimoji="1" lang="ja-JP" altLang="en-US" sz="1200">
                <a:solidFill>
                  <a:sysClr val="windowText" lastClr="000000"/>
                </a:solidFill>
                <a:latin typeface="+mn-ea"/>
                <a:ea typeface="+mn-ea"/>
              </a:rPr>
              <a:t>・①申請者情報シートの</a:t>
            </a:r>
            <a:r>
              <a:rPr kumimoji="1" lang="en-US" altLang="ja-JP" sz="1200">
                <a:solidFill>
                  <a:sysClr val="windowText" lastClr="000000"/>
                </a:solidFill>
                <a:latin typeface="+mn-ea"/>
                <a:ea typeface="+mn-ea"/>
              </a:rPr>
              <a:t>74</a:t>
            </a:r>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76</a:t>
            </a:r>
            <a:r>
              <a:rPr kumimoji="1" lang="ja-JP" altLang="en-US" sz="1200">
                <a:solidFill>
                  <a:sysClr val="windowText" lastClr="000000"/>
                </a:solidFill>
                <a:latin typeface="+mn-ea"/>
                <a:ea typeface="+mn-ea"/>
              </a:rPr>
              <a:t>行目</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以降も同様</a:t>
            </a:r>
          </a:p>
        </xdr:txBody>
      </xdr:sp>
      <xdr:sp macro="" textlink="">
        <xdr:nvSpPr>
          <xdr:cNvPr id="57" name="テキスト ボックス 56">
            <a:extLst>
              <a:ext uri="{FF2B5EF4-FFF2-40B4-BE49-F238E27FC236}">
                <a16:creationId xmlns:a16="http://schemas.microsoft.com/office/drawing/2014/main" id="{4BF42D48-025B-4F34-B21F-5A1F64A172DB}"/>
              </a:ext>
            </a:extLst>
          </xdr:cNvPr>
          <xdr:cNvSpPr txBox="1"/>
        </xdr:nvSpPr>
        <xdr:spPr>
          <a:xfrm>
            <a:off x="18397737" y="25519813"/>
            <a:ext cx="1091142" cy="270712"/>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58" name="テキスト ボックス 57">
            <a:extLst>
              <a:ext uri="{FF2B5EF4-FFF2-40B4-BE49-F238E27FC236}">
                <a16:creationId xmlns:a16="http://schemas.microsoft.com/office/drawing/2014/main" id="{2CC960A2-0CD6-4F69-953C-81992B222D14}"/>
              </a:ext>
            </a:extLst>
          </xdr:cNvPr>
          <xdr:cNvSpPr txBox="1"/>
        </xdr:nvSpPr>
        <xdr:spPr>
          <a:xfrm>
            <a:off x="17100173" y="25495702"/>
            <a:ext cx="731340" cy="294823"/>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61" name="吹き出し: 角を丸めた四角形 60">
            <a:extLst>
              <a:ext uri="{FF2B5EF4-FFF2-40B4-BE49-F238E27FC236}">
                <a16:creationId xmlns:a16="http://schemas.microsoft.com/office/drawing/2014/main" id="{71AAAC07-56AB-4914-9F0F-A04CB0EC54AA}"/>
              </a:ext>
            </a:extLst>
          </xdr:cNvPr>
          <xdr:cNvSpPr/>
        </xdr:nvSpPr>
        <xdr:spPr>
          <a:xfrm>
            <a:off x="14798141" y="27071837"/>
            <a:ext cx="3553791" cy="1587444"/>
          </a:xfrm>
          <a:prstGeom prst="wedgeRoundRectCallout">
            <a:avLst>
              <a:gd name="adj1" fmla="val -60812"/>
              <a:gd name="adj2" fmla="val -4492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a:t>
            </a:r>
            <a:r>
              <a:rPr kumimoji="1" lang="en-US" altLang="ja-JP" sz="1200">
                <a:solidFill>
                  <a:sysClr val="windowText" lastClr="000000"/>
                </a:solidFill>
                <a:latin typeface="+mn-ea"/>
                <a:ea typeface="+mn-ea"/>
              </a:rPr>
              <a:t>T_</a:t>
            </a:r>
            <a:r>
              <a:rPr kumimoji="1" lang="ja-JP" altLang="en-US" sz="1200">
                <a:solidFill>
                  <a:sysClr val="windowText" lastClr="000000"/>
                </a:solidFill>
                <a:latin typeface="+mn-ea"/>
                <a:ea typeface="+mn-ea"/>
              </a:rPr>
              <a:t>分類不能」、小分類「”その他の”もしくは”他に分類されない”から始まる産業」を選択した場合は記載ください。</a:t>
            </a:r>
            <a:endParaRPr kumimoji="1" lang="en-US" altLang="ja-JP" sz="1200">
              <a:solidFill>
                <a:sysClr val="windowText" lastClr="000000"/>
              </a:solidFill>
              <a:latin typeface="+mn-ea"/>
              <a:ea typeface="+mn-ea"/>
            </a:endParaRPr>
          </a:p>
        </xdr:txBody>
      </xdr:sp>
      <xdr:sp macro="" textlink="">
        <xdr:nvSpPr>
          <xdr:cNvPr id="62" name="吹き出し: 角を丸めた四角形 61">
            <a:extLst>
              <a:ext uri="{FF2B5EF4-FFF2-40B4-BE49-F238E27FC236}">
                <a16:creationId xmlns:a16="http://schemas.microsoft.com/office/drawing/2014/main" id="{EE068EA7-880F-4899-A61F-407085AD4DE7}"/>
              </a:ext>
            </a:extLst>
          </xdr:cNvPr>
          <xdr:cNvSpPr/>
        </xdr:nvSpPr>
        <xdr:spPr>
          <a:xfrm>
            <a:off x="14950829" y="23659110"/>
            <a:ext cx="3552018" cy="1451717"/>
          </a:xfrm>
          <a:prstGeom prst="wedgeRoundRectCallout">
            <a:avLst>
              <a:gd name="adj1" fmla="val -68849"/>
              <a:gd name="adj2" fmla="val 138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事業者名は自動反映されますが、</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次・</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次公募で採択されているみなし同一法人がいる場合は、事業者名を自身で記載ください。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5440DF55-D535-56FA-1EDE-9F4082ED0D82}"/>
            </a:ext>
          </a:extLst>
        </xdr:cNvPr>
        <xdr:cNvGrpSpPr/>
      </xdr:nvGrpSpPr>
      <xdr:grpSpPr>
        <a:xfrm>
          <a:off x="13185962" y="1691529"/>
          <a:ext cx="9262875" cy="250319"/>
          <a:chOff x="12192000" y="1333501"/>
          <a:chExt cx="7596000" cy="252000"/>
        </a:xfrm>
      </xdr:grpSpPr>
      <xdr:cxnSp macro="">
        <xdr:nvCxnSpPr>
          <xdr:cNvPr id="13" name="直線矢印コネクタ 12">
            <a:extLst>
              <a:ext uri="{FF2B5EF4-FFF2-40B4-BE49-F238E27FC236}">
                <a16:creationId xmlns:a16="http://schemas.microsoft.com/office/drawing/2014/main" id="{D6F7515B-BF6E-3F82-724F-FCBC2A5C0039}"/>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a:extLst>
              <a:ext uri="{FF2B5EF4-FFF2-40B4-BE49-F238E27FC236}">
                <a16:creationId xmlns:a16="http://schemas.microsoft.com/office/drawing/2014/main" id="{EB6641F4-249B-31BC-0EE9-AE0A1B23D4F0}"/>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9" name="グループ化 8">
          <a:extLst>
            <a:ext uri="{FF2B5EF4-FFF2-40B4-BE49-F238E27FC236}">
              <a16:creationId xmlns:a16="http://schemas.microsoft.com/office/drawing/2014/main" id="{B4EC9D0F-BD05-CBBE-BA72-2ED805BB7876}"/>
            </a:ext>
          </a:extLst>
        </xdr:cNvPr>
        <xdr:cNvGrpSpPr/>
      </xdr:nvGrpSpPr>
      <xdr:grpSpPr>
        <a:xfrm>
          <a:off x="17466578" y="1221358"/>
          <a:ext cx="4982259" cy="426397"/>
          <a:chOff x="9429751" y="685800"/>
          <a:chExt cx="4032000" cy="432000"/>
        </a:xfrm>
      </xdr:grpSpPr>
      <xdr:sp macro="" textlink="">
        <xdr:nvSpPr>
          <xdr:cNvPr id="4" name="テキスト ボックス 3">
            <a:extLst>
              <a:ext uri="{FF2B5EF4-FFF2-40B4-BE49-F238E27FC236}">
                <a16:creationId xmlns:a16="http://schemas.microsoft.com/office/drawing/2014/main" id="{0DF6E517-1172-4DEA-BD1B-E1E763B1F512}"/>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C74169B2-136C-41A0-95E3-8379C2B2EFD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6" name="テキスト ボックス 5">
            <a:extLst>
              <a:ext uri="{FF2B5EF4-FFF2-40B4-BE49-F238E27FC236}">
                <a16:creationId xmlns:a16="http://schemas.microsoft.com/office/drawing/2014/main" id="{EB4F3FF5-35D7-414F-9CCF-ACB01079B4A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7" name="正方形/長方形 6">
            <a:extLst>
              <a:ext uri="{FF2B5EF4-FFF2-40B4-BE49-F238E27FC236}">
                <a16:creationId xmlns:a16="http://schemas.microsoft.com/office/drawing/2014/main" id="{978F1413-EC98-648E-2CE1-F8059CFB023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97434E10-5996-4AC8-9A98-06E08494E87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0</xdr:colOff>
      <xdr:row>2</xdr:row>
      <xdr:rowOff>243645</xdr:rowOff>
    </xdr:from>
    <xdr:to>
      <xdr:col>13</xdr:col>
      <xdr:colOff>811496</xdr:colOff>
      <xdr:row>3</xdr:row>
      <xdr:rowOff>157086</xdr:rowOff>
    </xdr:to>
    <xdr:grpSp>
      <xdr:nvGrpSpPr>
        <xdr:cNvPr id="26" name="グループ化 25">
          <a:extLst>
            <a:ext uri="{FF2B5EF4-FFF2-40B4-BE49-F238E27FC236}">
              <a16:creationId xmlns:a16="http://schemas.microsoft.com/office/drawing/2014/main" id="{92CB60C1-9E85-36F6-5933-6FD7A0521E9E}"/>
            </a:ext>
          </a:extLst>
        </xdr:cNvPr>
        <xdr:cNvGrpSpPr/>
      </xdr:nvGrpSpPr>
      <xdr:grpSpPr>
        <a:xfrm>
          <a:off x="714375" y="519870"/>
          <a:ext cx="18023171" cy="199191"/>
          <a:chOff x="10186146" y="579822"/>
          <a:chExt cx="16208377" cy="216000"/>
        </a:xfrm>
      </xdr:grpSpPr>
      <xdr:sp macro="" textlink="">
        <xdr:nvSpPr>
          <xdr:cNvPr id="24" name="テキスト ボックス 23">
            <a:extLst>
              <a:ext uri="{FF2B5EF4-FFF2-40B4-BE49-F238E27FC236}">
                <a16:creationId xmlns:a16="http://schemas.microsoft.com/office/drawing/2014/main" id="{2B0B4BC4-E622-4DDA-948E-B0BA88284E8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5" name="テキスト ボックス 24">
            <a:extLst>
              <a:ext uri="{FF2B5EF4-FFF2-40B4-BE49-F238E27FC236}">
                <a16:creationId xmlns:a16="http://schemas.microsoft.com/office/drawing/2014/main" id="{B25F5CAB-DA59-43E8-819B-E0FC69A6E4A1}"/>
              </a:ext>
            </a:extLst>
          </xdr:cNvPr>
          <xdr:cNvSpPr txBox="1"/>
        </xdr:nvSpPr>
        <xdr:spPr>
          <a:xfrm>
            <a:off x="10914525" y="580804"/>
            <a:ext cx="15479998"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r>
              <a:rPr kumimoji="1" lang="en-US" altLang="ja-JP" sz="1100" b="1">
                <a:solidFill>
                  <a:schemeClr val="accent1"/>
                </a:solidFill>
              </a:rPr>
              <a:t>※①</a:t>
            </a:r>
            <a:r>
              <a:rPr kumimoji="1" lang="ja-JP" altLang="en-US" sz="1100" b="1">
                <a:solidFill>
                  <a:schemeClr val="accent1"/>
                </a:solidFill>
              </a:rPr>
              <a:t>申請者情報シートにも同様の欄があります。共にワーニングメッセージが表示されていないことを確認してください。</a:t>
            </a:r>
          </a:p>
        </xdr:txBody>
      </xdr:sp>
    </xdr:grpSp>
    <xdr:clientData/>
  </xdr:twoCellAnchor>
  <xdr:twoCellAnchor>
    <xdr:from>
      <xdr:col>5</xdr:col>
      <xdr:colOff>706219</xdr:colOff>
      <xdr:row>8</xdr:row>
      <xdr:rowOff>114300</xdr:rowOff>
    </xdr:from>
    <xdr:to>
      <xdr:col>5</xdr:col>
      <xdr:colOff>2362219</xdr:colOff>
      <xdr:row>12</xdr:row>
      <xdr:rowOff>104241</xdr:rowOff>
    </xdr:to>
    <xdr:cxnSp macro="">
      <xdr:nvCxnSpPr>
        <xdr:cNvPr id="11" name="直線矢印コネクタ 11">
          <a:extLst>
            <a:ext uri="{FF2B5EF4-FFF2-40B4-BE49-F238E27FC236}">
              <a16:creationId xmlns:a16="http://schemas.microsoft.com/office/drawing/2014/main" id="{41B76831-FF51-429D-828C-C1AF8685A796}"/>
            </a:ext>
          </a:extLst>
        </xdr:cNvPr>
        <xdr:cNvCxnSpPr/>
      </xdr:nvCxnSpPr>
      <xdr:spPr>
        <a:xfrm rot="10800000">
          <a:off x="7765925" y="1750359"/>
          <a:ext cx="1656000" cy="864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33619</xdr:colOff>
      <xdr:row>8</xdr:row>
      <xdr:rowOff>114300</xdr:rowOff>
    </xdr:from>
    <xdr:to>
      <xdr:col>5</xdr:col>
      <xdr:colOff>609619</xdr:colOff>
      <xdr:row>12</xdr:row>
      <xdr:rowOff>104241</xdr:rowOff>
    </xdr:to>
    <xdr:cxnSp macro="">
      <xdr:nvCxnSpPr>
        <xdr:cNvPr id="15" name="直線矢印コネクタ 11">
          <a:extLst>
            <a:ext uri="{FF2B5EF4-FFF2-40B4-BE49-F238E27FC236}">
              <a16:creationId xmlns:a16="http://schemas.microsoft.com/office/drawing/2014/main" id="{6AE4FFE3-CB55-4156-B772-E9C2324EB6F8}"/>
            </a:ext>
          </a:extLst>
        </xdr:cNvPr>
        <xdr:cNvCxnSpPr/>
      </xdr:nvCxnSpPr>
      <xdr:spPr>
        <a:xfrm rot="10800000" flipH="1">
          <a:off x="7093325" y="1750359"/>
          <a:ext cx="576000" cy="864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89666</xdr:colOff>
      <xdr:row>4</xdr:row>
      <xdr:rowOff>0</xdr:rowOff>
    </xdr:from>
    <xdr:to>
      <xdr:col>12</xdr:col>
      <xdr:colOff>627813</xdr:colOff>
      <xdr:row>8</xdr:row>
      <xdr:rowOff>123264</xdr:rowOff>
    </xdr:to>
    <xdr:sp macro="" textlink="">
      <xdr:nvSpPr>
        <xdr:cNvPr id="16" name="テキスト ボックス 15">
          <a:extLst>
            <a:ext uri="{FF2B5EF4-FFF2-40B4-BE49-F238E27FC236}">
              <a16:creationId xmlns:a16="http://schemas.microsoft.com/office/drawing/2014/main" id="{2C6FCDD2-8968-4741-B5CF-EAF48939CCFB}"/>
            </a:ext>
          </a:extLst>
        </xdr:cNvPr>
        <xdr:cNvSpPr txBox="1"/>
      </xdr:nvSpPr>
      <xdr:spPr>
        <a:xfrm>
          <a:off x="7093342" y="784412"/>
          <a:ext cx="8640000" cy="974911"/>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square" lIns="36000" tIns="0" rIns="36000" bIns="0" rtlCol="0" anchor="ctr"/>
        <a:lstStyle/>
        <a:p>
          <a:r>
            <a:rPr kumimoji="1" lang="ja-JP" altLang="en-US" sz="1100">
              <a:solidFill>
                <a:schemeClr val="accent1"/>
              </a:solidFill>
            </a:rPr>
            <a:t>新設会社等で決算が一度も確定していない場合、</a:t>
          </a:r>
          <a:r>
            <a:rPr kumimoji="1" lang="en-US" altLang="ja-JP" sz="1100">
              <a:solidFill>
                <a:schemeClr val="accent1"/>
              </a:solidFill>
            </a:rPr>
            <a:t>"</a:t>
          </a:r>
          <a:r>
            <a:rPr kumimoji="1" lang="ja-JP" altLang="en-US" sz="1100">
              <a:solidFill>
                <a:schemeClr val="accent1"/>
              </a:solidFill>
            </a:rPr>
            <a:t>適用する</a:t>
          </a:r>
          <a:r>
            <a:rPr kumimoji="1" lang="en-US" altLang="ja-JP" sz="1100">
              <a:solidFill>
                <a:schemeClr val="accent1"/>
              </a:solidFill>
            </a:rPr>
            <a:t>"</a:t>
          </a:r>
          <a:r>
            <a:rPr kumimoji="1" lang="ja-JP" altLang="en-US" sz="1100">
              <a:solidFill>
                <a:schemeClr val="accent1"/>
              </a:solidFill>
            </a:rPr>
            <a:t>を選択可能です。これにより基準年度が「</a:t>
          </a:r>
          <a:r>
            <a:rPr kumimoji="1" lang="en-US" altLang="ja-JP" sz="1100">
              <a:solidFill>
                <a:schemeClr val="accent1"/>
              </a:solidFill>
            </a:rPr>
            <a:t>(5)</a:t>
          </a:r>
          <a:r>
            <a:rPr kumimoji="1" lang="ja-JP" altLang="en-US" sz="1100">
              <a:solidFill>
                <a:schemeClr val="accent1"/>
              </a:solidFill>
            </a:rPr>
            <a:t>の翌事業年度」となります。</a:t>
          </a:r>
        </a:p>
        <a:p>
          <a:r>
            <a:rPr kumimoji="1" lang="en-US" altLang="ja-JP" sz="1100">
              <a:solidFill>
                <a:schemeClr val="accent1"/>
              </a:solidFill>
            </a:rPr>
            <a:t>※</a:t>
          </a:r>
          <a:r>
            <a:rPr kumimoji="1" lang="ja-JP" altLang="en-US" sz="1100">
              <a:solidFill>
                <a:schemeClr val="accent1"/>
              </a:solidFill>
            </a:rPr>
            <a:t>会社を新設し従業員を新たに雇用するケース等においては、補助事業を完了した日の属する事業年度（基準年度）に、</a:t>
          </a:r>
        </a:p>
        <a:p>
          <a:r>
            <a:rPr kumimoji="1" lang="ja-JP" altLang="en-US" sz="1100">
              <a:solidFill>
                <a:schemeClr val="accent1"/>
              </a:solidFill>
            </a:rPr>
            <a:t>　</a:t>
          </a:r>
          <a:r>
            <a:rPr kumimoji="1" lang="en-US" altLang="ja-JP" sz="1100">
              <a:solidFill>
                <a:schemeClr val="accent1"/>
              </a:solidFill>
            </a:rPr>
            <a:t>12</a:t>
          </a:r>
          <a:r>
            <a:rPr kumimoji="1" lang="ja-JP" altLang="en-US" sz="1100">
              <a:solidFill>
                <a:schemeClr val="accent1"/>
              </a:solidFill>
            </a:rPr>
            <a:t>か月雇用している従業員がおらず、賃上げの確認が難しいことを想定</a:t>
          </a:r>
        </a:p>
        <a:p>
          <a:r>
            <a:rPr kumimoji="1" lang="ja-JP" altLang="en-US" sz="1100">
              <a:solidFill>
                <a:schemeClr val="accent1"/>
              </a:solidFill>
            </a:rPr>
            <a:t>確定決算がある場合や申請時点ですでに事業を実施しており新規事業を補助事業とする場合は、</a:t>
          </a:r>
          <a:r>
            <a:rPr kumimoji="1" lang="en-US" altLang="ja-JP" sz="1100">
              <a:solidFill>
                <a:schemeClr val="accent1"/>
              </a:solidFill>
            </a:rPr>
            <a:t>"</a:t>
          </a:r>
          <a:r>
            <a:rPr kumimoji="1" lang="ja-JP" altLang="en-US" sz="1100">
              <a:solidFill>
                <a:schemeClr val="accent1"/>
              </a:solidFill>
            </a:rPr>
            <a:t>適用しない</a:t>
          </a:r>
          <a:r>
            <a:rPr kumimoji="1" lang="en-US" altLang="ja-JP" sz="1100">
              <a:solidFill>
                <a:schemeClr val="accent1"/>
              </a:solidFill>
            </a:rPr>
            <a:t>"</a:t>
          </a:r>
          <a:r>
            <a:rPr kumimoji="1" lang="ja-JP" altLang="en-US" sz="1100">
              <a:solidFill>
                <a:schemeClr val="accent1"/>
              </a:solidFill>
            </a:rPr>
            <a:t>を選択してください。</a:t>
          </a:r>
        </a:p>
      </xdr:txBody>
    </xdr:sp>
    <xdr:clientData/>
  </xdr:twoCellAnchor>
  <xdr:twoCellAnchor>
    <xdr:from>
      <xdr:col>15</xdr:col>
      <xdr:colOff>470647</xdr:colOff>
      <xdr:row>0</xdr:row>
      <xdr:rowOff>0</xdr:rowOff>
    </xdr:from>
    <xdr:to>
      <xdr:col>17</xdr:col>
      <xdr:colOff>5647</xdr:colOff>
      <xdr:row>2</xdr:row>
      <xdr:rowOff>151853</xdr:rowOff>
    </xdr:to>
    <xdr:sp macro="" textlink="">
      <xdr:nvSpPr>
        <xdr:cNvPr id="27" name="正方形/長方形 7">
          <a:extLst>
            <a:ext uri="{FF2B5EF4-FFF2-40B4-BE49-F238E27FC236}">
              <a16:creationId xmlns:a16="http://schemas.microsoft.com/office/drawing/2014/main" id="{E69515D1-93F4-4562-A5C0-19DF36BA7375}"/>
            </a:ext>
          </a:extLst>
        </xdr:cNvPr>
        <xdr:cNvSpPr/>
      </xdr:nvSpPr>
      <xdr:spPr>
        <a:xfrm flipH="1">
          <a:off x="18489706" y="0"/>
          <a:ext cx="1440000" cy="432000"/>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indent="0" algn="ctr" defTabSz="742950" rtl="0" eaLnBrk="1" latinLnBrk="0" hangingPunct="1"/>
          <a:r>
            <a:rPr kumimoji="1" lang="en-US" altLang="ja-JP" sz="1800" kern="1200">
              <a:solidFill>
                <a:schemeClr val="bg1"/>
              </a:solidFill>
              <a:latin typeface="Meiryo UI" panose="020B0604030504040204" pitchFamily="50" charset="-128"/>
              <a:ea typeface="Meiryo UI" panose="020B0604030504040204" pitchFamily="50" charset="-128"/>
              <a:cs typeface="+mn-cs"/>
            </a:rPr>
            <a:t>4</a:t>
          </a:r>
          <a:r>
            <a:rPr kumimoji="1" lang="ja-JP" altLang="en-US" sz="1800" kern="1200">
              <a:solidFill>
                <a:schemeClr val="bg1"/>
              </a:solidFill>
              <a:latin typeface="Meiryo UI" panose="020B0604030504040204" pitchFamily="50" charset="-128"/>
              <a:ea typeface="Meiryo UI" panose="020B0604030504040204" pitchFamily="50" charset="-128"/>
              <a:cs typeface="+mn-cs"/>
            </a:rPr>
            <a:t>次公募用</a:t>
          </a:r>
          <a:endParaRPr kumimoji="1" lang="en-US" altLang="ja-JP" sz="1800" kern="1200">
            <a:solidFill>
              <a:schemeClr val="bg1"/>
            </a:solidFill>
            <a:latin typeface="Meiryo UI" panose="020B0604030504040204" pitchFamily="50" charset="-128"/>
            <a:ea typeface="Meiryo UI" panose="020B0604030504040204" pitchFamily="50" charset="-128"/>
            <a:cs typeface="+mn-cs"/>
          </a:endParaRPr>
        </a:p>
      </xdr:txBody>
    </xdr:sp>
    <xdr:clientData/>
  </xdr:twoCellAnchor>
  <xdr:twoCellAnchor>
    <xdr:from>
      <xdr:col>5</xdr:col>
      <xdr:colOff>1647265</xdr:colOff>
      <xdr:row>152</xdr:row>
      <xdr:rowOff>11206</xdr:rowOff>
    </xdr:from>
    <xdr:to>
      <xdr:col>5</xdr:col>
      <xdr:colOff>2367265</xdr:colOff>
      <xdr:row>152</xdr:row>
      <xdr:rowOff>225243</xdr:rowOff>
    </xdr:to>
    <xdr:sp macro="" textlink="">
      <xdr:nvSpPr>
        <xdr:cNvPr id="10" name="テキスト ボックス 9">
          <a:extLst>
            <a:ext uri="{FF2B5EF4-FFF2-40B4-BE49-F238E27FC236}">
              <a16:creationId xmlns:a16="http://schemas.microsoft.com/office/drawing/2014/main" id="{DD1404E4-40BE-4A84-8518-D4192F4A31F8}"/>
            </a:ext>
          </a:extLst>
        </xdr:cNvPr>
        <xdr:cNvSpPr txBox="1"/>
      </xdr:nvSpPr>
      <xdr:spPr>
        <a:xfrm>
          <a:off x="8705290" y="80135506"/>
          <a:ext cx="72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154</xdr:row>
      <xdr:rowOff>15689</xdr:rowOff>
    </xdr:from>
    <xdr:to>
      <xdr:col>5</xdr:col>
      <xdr:colOff>2367265</xdr:colOff>
      <xdr:row>154</xdr:row>
      <xdr:rowOff>232527</xdr:rowOff>
    </xdr:to>
    <xdr:sp macro="" textlink="">
      <xdr:nvSpPr>
        <xdr:cNvPr id="17" name="テキスト ボックス 16">
          <a:extLst>
            <a:ext uri="{FF2B5EF4-FFF2-40B4-BE49-F238E27FC236}">
              <a16:creationId xmlns:a16="http://schemas.microsoft.com/office/drawing/2014/main" id="{A8C26E0B-B40D-43F0-9AB5-86ABC7210D5C}"/>
            </a:ext>
          </a:extLst>
        </xdr:cNvPr>
        <xdr:cNvSpPr txBox="1"/>
      </xdr:nvSpPr>
      <xdr:spPr>
        <a:xfrm>
          <a:off x="8705290" y="81092489"/>
          <a:ext cx="720000" cy="216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156</xdr:row>
      <xdr:rowOff>15689</xdr:rowOff>
    </xdr:from>
    <xdr:to>
      <xdr:col>5</xdr:col>
      <xdr:colOff>2367265</xdr:colOff>
      <xdr:row>156</xdr:row>
      <xdr:rowOff>232527</xdr:rowOff>
    </xdr:to>
    <xdr:sp macro="" textlink="">
      <xdr:nvSpPr>
        <xdr:cNvPr id="18" name="テキスト ボックス 17">
          <a:extLst>
            <a:ext uri="{FF2B5EF4-FFF2-40B4-BE49-F238E27FC236}">
              <a16:creationId xmlns:a16="http://schemas.microsoft.com/office/drawing/2014/main" id="{5F8D2FB3-BCCB-49CD-885A-2A3E4B466FFE}"/>
            </a:ext>
          </a:extLst>
        </xdr:cNvPr>
        <xdr:cNvSpPr txBox="1"/>
      </xdr:nvSpPr>
      <xdr:spPr>
        <a:xfrm>
          <a:off x="8705290" y="81568739"/>
          <a:ext cx="720000" cy="216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5</xdr:col>
      <xdr:colOff>1647265</xdr:colOff>
      <xdr:row>158</xdr:row>
      <xdr:rowOff>15689</xdr:rowOff>
    </xdr:from>
    <xdr:to>
      <xdr:col>5</xdr:col>
      <xdr:colOff>2367265</xdr:colOff>
      <xdr:row>158</xdr:row>
      <xdr:rowOff>232527</xdr:rowOff>
    </xdr:to>
    <xdr:sp macro="" textlink="">
      <xdr:nvSpPr>
        <xdr:cNvPr id="19" name="テキスト ボックス 18">
          <a:extLst>
            <a:ext uri="{FF2B5EF4-FFF2-40B4-BE49-F238E27FC236}">
              <a16:creationId xmlns:a16="http://schemas.microsoft.com/office/drawing/2014/main" id="{462C358C-FC27-45DB-BE91-36992A4C83EA}"/>
            </a:ext>
          </a:extLst>
        </xdr:cNvPr>
        <xdr:cNvSpPr txBox="1"/>
      </xdr:nvSpPr>
      <xdr:spPr>
        <a:xfrm>
          <a:off x="8705290" y="82044989"/>
          <a:ext cx="720000" cy="216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0">
              <a:solidFill>
                <a:sysClr val="windowText" lastClr="000000"/>
              </a:solidFill>
            </a:rPr>
            <a:t>該当年度：</a:t>
          </a:r>
        </a:p>
      </xdr:txBody>
    </xdr:sp>
    <xdr:clientData/>
  </xdr:twoCellAnchor>
  <xdr:twoCellAnchor>
    <xdr:from>
      <xdr:col>4</xdr:col>
      <xdr:colOff>88900</xdr:colOff>
      <xdr:row>6</xdr:row>
      <xdr:rowOff>190004</xdr:rowOff>
    </xdr:from>
    <xdr:to>
      <xdr:col>4</xdr:col>
      <xdr:colOff>3861189</xdr:colOff>
      <xdr:row>8</xdr:row>
      <xdr:rowOff>25527</xdr:rowOff>
    </xdr:to>
    <xdr:sp macro="" textlink="">
      <xdr:nvSpPr>
        <xdr:cNvPr id="8" name="四角形: 角を丸くする 7">
          <a:extLst>
            <a:ext uri="{FF2B5EF4-FFF2-40B4-BE49-F238E27FC236}">
              <a16:creationId xmlns:a16="http://schemas.microsoft.com/office/drawing/2014/main" id="{26CA8158-77F4-41EB-A860-20227B766ADC}"/>
            </a:ext>
            <a:ext uri="{147F2762-F138-4A5C-976F-8EAC2B608ADB}">
              <a16:predDERef xmlns:a16="http://schemas.microsoft.com/office/drawing/2014/main" pred="{5E036E78-F729-40A3-B819-0ACFFE84D7D0}"/>
            </a:ext>
          </a:extLst>
        </xdr:cNvPr>
        <xdr:cNvSpPr/>
      </xdr:nvSpPr>
      <xdr:spPr>
        <a:xfrm>
          <a:off x="1511300" y="1421904"/>
          <a:ext cx="3772289" cy="241923"/>
        </a:xfrm>
        <a:prstGeom prst="roundRect">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4</xdr:col>
      <xdr:colOff>1381488</xdr:colOff>
      <xdr:row>13</xdr:row>
      <xdr:rowOff>100584</xdr:rowOff>
    </xdr:from>
    <xdr:to>
      <xdr:col>4</xdr:col>
      <xdr:colOff>4618313</xdr:colOff>
      <xdr:row>14</xdr:row>
      <xdr:rowOff>218128</xdr:rowOff>
    </xdr:to>
    <xdr:sp macro="" textlink="">
      <xdr:nvSpPr>
        <xdr:cNvPr id="12" name="吹き出し: 角を丸めた四角形 11">
          <a:extLst>
            <a:ext uri="{FF2B5EF4-FFF2-40B4-BE49-F238E27FC236}">
              <a16:creationId xmlns:a16="http://schemas.microsoft.com/office/drawing/2014/main" id="{F436C6CE-238C-4B6F-BCCA-A469A924709F}"/>
            </a:ext>
          </a:extLst>
        </xdr:cNvPr>
        <xdr:cNvSpPr/>
      </xdr:nvSpPr>
      <xdr:spPr>
        <a:xfrm>
          <a:off x="2803888" y="2831084"/>
          <a:ext cx="3236825" cy="371544"/>
        </a:xfrm>
        <a:prstGeom prst="wedgeRoundRectCallout">
          <a:avLst>
            <a:gd name="adj1" fmla="val -56457"/>
            <a:gd name="adj2" fmla="val -153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1~5</a:t>
          </a:r>
          <a:r>
            <a:rPr kumimoji="1" lang="ja-JP" altLang="en-US" sz="1200">
              <a:solidFill>
                <a:sysClr val="windowText" lastClr="000000"/>
              </a:solidFill>
              <a:latin typeface="+mn-ea"/>
              <a:ea typeface="+mn-ea"/>
            </a:rPr>
            <a:t>項は会社全体について入力してください。</a:t>
          </a:r>
          <a:endParaRPr kumimoji="1" lang="en-US" altLang="ja-JP" sz="1200">
            <a:solidFill>
              <a:sysClr val="windowText" lastClr="000000"/>
            </a:solidFill>
            <a:latin typeface="+mn-ea"/>
            <a:ea typeface="+mn-ea"/>
          </a:endParaRPr>
        </a:p>
      </xdr:txBody>
    </xdr:sp>
    <xdr:clientData/>
  </xdr:twoCellAnchor>
  <xdr:twoCellAnchor>
    <xdr:from>
      <xdr:col>4</xdr:col>
      <xdr:colOff>5552300</xdr:colOff>
      <xdr:row>0</xdr:row>
      <xdr:rowOff>86472</xdr:rowOff>
    </xdr:from>
    <xdr:to>
      <xdr:col>8</xdr:col>
      <xdr:colOff>732021</xdr:colOff>
      <xdr:row>2</xdr:row>
      <xdr:rowOff>201881</xdr:rowOff>
    </xdr:to>
    <xdr:sp macro="" textlink="">
      <xdr:nvSpPr>
        <xdr:cNvPr id="20" name="吹き出し: 角を丸めた四角形 23">
          <a:extLst>
            <a:ext uri="{FF2B5EF4-FFF2-40B4-BE49-F238E27FC236}">
              <a16:creationId xmlns:a16="http://schemas.microsoft.com/office/drawing/2014/main" id="{A8E7F886-99EC-48F9-965D-F5F953F3B0D6}"/>
            </a:ext>
          </a:extLst>
        </xdr:cNvPr>
        <xdr:cNvSpPr/>
      </xdr:nvSpPr>
      <xdr:spPr>
        <a:xfrm>
          <a:off x="6967443" y="86472"/>
          <a:ext cx="5766078" cy="387552"/>
        </a:xfrm>
        <a:prstGeom prst="wedgeRoundRectCallout">
          <a:avLst>
            <a:gd name="adj1" fmla="val -52794"/>
            <a:gd name="adj2" fmla="val 1432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入力内容が要件を満たすとワーニングメッセージが消えます。</a:t>
          </a:r>
          <a:endParaRPr kumimoji="1" lang="en-US" altLang="ja-JP" sz="1200">
            <a:solidFill>
              <a:sysClr val="windowText" lastClr="000000"/>
            </a:solidFill>
            <a:latin typeface="+mn-ea"/>
            <a:ea typeface="+mn-ea"/>
          </a:endParaRPr>
        </a:p>
      </xdr:txBody>
    </xdr:sp>
    <xdr:clientData/>
  </xdr:twoCellAnchor>
  <xdr:twoCellAnchor>
    <xdr:from>
      <xdr:col>5</xdr:col>
      <xdr:colOff>543365</xdr:colOff>
      <xdr:row>9</xdr:row>
      <xdr:rowOff>3507</xdr:rowOff>
    </xdr:from>
    <xdr:to>
      <xdr:col>5</xdr:col>
      <xdr:colOff>2330851</xdr:colOff>
      <xdr:row>10</xdr:row>
      <xdr:rowOff>216060</xdr:rowOff>
    </xdr:to>
    <xdr:sp macro="" textlink="">
      <xdr:nvSpPr>
        <xdr:cNvPr id="21" name="吹き出し: 角を丸めた四角形 20">
          <a:extLst>
            <a:ext uri="{FF2B5EF4-FFF2-40B4-BE49-F238E27FC236}">
              <a16:creationId xmlns:a16="http://schemas.microsoft.com/office/drawing/2014/main" id="{120EE726-865E-4900-9413-9764BED551D8}"/>
            </a:ext>
          </a:extLst>
        </xdr:cNvPr>
        <xdr:cNvSpPr/>
      </xdr:nvSpPr>
      <xdr:spPr>
        <a:xfrm>
          <a:off x="7755151" y="1826864"/>
          <a:ext cx="1787486" cy="416660"/>
        </a:xfrm>
        <a:prstGeom prst="wedgeRoundRectCallout">
          <a:avLst>
            <a:gd name="adj1" fmla="val -32101"/>
            <a:gd name="adj2" fmla="val 7546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入力に応じて、期間情報が設定されます。</a:t>
          </a:r>
          <a:endParaRPr kumimoji="1" lang="en-US" altLang="ja-JP" sz="1200">
            <a:solidFill>
              <a:sysClr val="windowText" lastClr="000000"/>
            </a:solidFill>
            <a:latin typeface="+mn-ea"/>
            <a:ea typeface="+mn-ea"/>
          </a:endParaRPr>
        </a:p>
      </xdr:txBody>
    </xdr:sp>
    <xdr:clientData/>
  </xdr:twoCellAnchor>
  <xdr:twoCellAnchor>
    <xdr:from>
      <xdr:col>4</xdr:col>
      <xdr:colOff>146381</xdr:colOff>
      <xdr:row>11</xdr:row>
      <xdr:rowOff>55539</xdr:rowOff>
    </xdr:from>
    <xdr:to>
      <xdr:col>4</xdr:col>
      <xdr:colOff>4494956</xdr:colOff>
      <xdr:row>11</xdr:row>
      <xdr:rowOff>218605</xdr:rowOff>
    </xdr:to>
    <xdr:sp macro="" textlink="">
      <xdr:nvSpPr>
        <xdr:cNvPr id="22" name="四角形: 角を丸くする 21">
          <a:extLst>
            <a:ext uri="{FF2B5EF4-FFF2-40B4-BE49-F238E27FC236}">
              <a16:creationId xmlns:a16="http://schemas.microsoft.com/office/drawing/2014/main" id="{B009072E-97A1-4457-BB9A-770DECF3DB24}"/>
            </a:ext>
          </a:extLst>
        </xdr:cNvPr>
        <xdr:cNvSpPr/>
      </xdr:nvSpPr>
      <xdr:spPr>
        <a:xfrm>
          <a:off x="1568781" y="2328839"/>
          <a:ext cx="4348575" cy="163066"/>
        </a:xfrm>
        <a:prstGeom prst="roundRect">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最新決算期末日を入力すると、選択肢がリストされます。</a:t>
          </a:r>
        </a:p>
      </xdr:txBody>
    </xdr:sp>
    <xdr:clientData/>
  </xdr:twoCellAnchor>
  <xdr:twoCellAnchor>
    <xdr:from>
      <xdr:col>4</xdr:col>
      <xdr:colOff>803408</xdr:colOff>
      <xdr:row>8</xdr:row>
      <xdr:rowOff>78759</xdr:rowOff>
    </xdr:from>
    <xdr:to>
      <xdr:col>4</xdr:col>
      <xdr:colOff>4716131</xdr:colOff>
      <xdr:row>10</xdr:row>
      <xdr:rowOff>147512</xdr:rowOff>
    </xdr:to>
    <xdr:sp macro="" textlink="">
      <xdr:nvSpPr>
        <xdr:cNvPr id="23" name="吹き出し: 角を丸めた四角形 22">
          <a:extLst>
            <a:ext uri="{FF2B5EF4-FFF2-40B4-BE49-F238E27FC236}">
              <a16:creationId xmlns:a16="http://schemas.microsoft.com/office/drawing/2014/main" id="{F05CB63B-79F3-4B9F-802C-54501DB0EFC8}"/>
            </a:ext>
          </a:extLst>
        </xdr:cNvPr>
        <xdr:cNvSpPr/>
      </xdr:nvSpPr>
      <xdr:spPr>
        <a:xfrm>
          <a:off x="2225808" y="1717059"/>
          <a:ext cx="3912723" cy="475153"/>
        </a:xfrm>
        <a:prstGeom prst="wedgeRoundRectCallout">
          <a:avLst>
            <a:gd name="adj1" fmla="val -59879"/>
            <a:gd name="adj2" fmla="val 167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コンソーシアムの場合、本シートで入力した補助事業完了日がすべての事業者のシートにも反映されます。</a:t>
          </a:r>
          <a:endParaRPr kumimoji="1" lang="en-US" altLang="ja-JP" sz="1200">
            <a:solidFill>
              <a:sysClr val="windowText" lastClr="000000"/>
            </a:solidFill>
            <a:latin typeface="+mn-ea"/>
            <a:ea typeface="+mn-ea"/>
          </a:endParaRPr>
        </a:p>
      </xdr:txBody>
    </xdr:sp>
    <xdr:clientData/>
  </xdr:twoCellAnchor>
  <xdr:twoCellAnchor>
    <xdr:from>
      <xdr:col>5</xdr:col>
      <xdr:colOff>2307558</xdr:colOff>
      <xdr:row>10</xdr:row>
      <xdr:rowOff>209021</xdr:rowOff>
    </xdr:from>
    <xdr:to>
      <xdr:col>17</xdr:col>
      <xdr:colOff>188767</xdr:colOff>
      <xdr:row>13</xdr:row>
      <xdr:rowOff>53057</xdr:rowOff>
    </xdr:to>
    <xdr:sp macro="" textlink="">
      <xdr:nvSpPr>
        <xdr:cNvPr id="28" name="四角形: 角を丸くする 27">
          <a:extLst>
            <a:ext uri="{FF2B5EF4-FFF2-40B4-BE49-F238E27FC236}">
              <a16:creationId xmlns:a16="http://schemas.microsoft.com/office/drawing/2014/main" id="{6952F264-7722-4C5B-80DC-4247A8A19F38}"/>
            </a:ext>
          </a:extLst>
        </xdr:cNvPr>
        <xdr:cNvSpPr/>
      </xdr:nvSpPr>
      <xdr:spPr>
        <a:xfrm>
          <a:off x="9521158" y="2253721"/>
          <a:ext cx="13400609" cy="529836"/>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4</xdr:col>
      <xdr:colOff>5670550</xdr:colOff>
      <xdr:row>11</xdr:row>
      <xdr:rowOff>95662</xdr:rowOff>
    </xdr:from>
    <xdr:to>
      <xdr:col>5</xdr:col>
      <xdr:colOff>2307558</xdr:colOff>
      <xdr:row>12</xdr:row>
      <xdr:rowOff>18183</xdr:rowOff>
    </xdr:to>
    <xdr:cxnSp macro="">
      <xdr:nvCxnSpPr>
        <xdr:cNvPr id="29" name="直線矢印コネクタ 28">
          <a:extLst>
            <a:ext uri="{FF2B5EF4-FFF2-40B4-BE49-F238E27FC236}">
              <a16:creationId xmlns:a16="http://schemas.microsoft.com/office/drawing/2014/main" id="{01ECC621-EBC9-4316-ADFF-B04788A59282}"/>
            </a:ext>
          </a:extLst>
        </xdr:cNvPr>
        <xdr:cNvCxnSpPr>
          <a:endCxn id="28" idx="1"/>
        </xdr:cNvCxnSpPr>
      </xdr:nvCxnSpPr>
      <xdr:spPr>
        <a:xfrm>
          <a:off x="7092950" y="2368962"/>
          <a:ext cx="2428208" cy="151121"/>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11503</xdr:colOff>
      <xdr:row>7</xdr:row>
      <xdr:rowOff>129641</xdr:rowOff>
    </xdr:from>
    <xdr:to>
      <xdr:col>7</xdr:col>
      <xdr:colOff>664795</xdr:colOff>
      <xdr:row>9</xdr:row>
      <xdr:rowOff>26449</xdr:rowOff>
    </xdr:to>
    <xdr:sp macro="" textlink="">
      <xdr:nvSpPr>
        <xdr:cNvPr id="30" name="吹き出し: 角を丸めた四角形 29">
          <a:extLst>
            <a:ext uri="{FF2B5EF4-FFF2-40B4-BE49-F238E27FC236}">
              <a16:creationId xmlns:a16="http://schemas.microsoft.com/office/drawing/2014/main" id="{B478BB22-37CD-483A-8E88-EBE981D52723}"/>
            </a:ext>
          </a:extLst>
        </xdr:cNvPr>
        <xdr:cNvSpPr/>
      </xdr:nvSpPr>
      <xdr:spPr>
        <a:xfrm>
          <a:off x="10806503" y="1564741"/>
          <a:ext cx="653292" cy="303208"/>
        </a:xfrm>
        <a:prstGeom prst="wedgeRoundRectCallout">
          <a:avLst>
            <a:gd name="adj1" fmla="val -64500"/>
            <a:gd name="adj2" fmla="val 3037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xdr:txBody>
    </xdr:sp>
    <xdr:clientData/>
  </xdr:twoCellAnchor>
  <xdr:twoCellAnchor>
    <xdr:from>
      <xdr:col>6</xdr:col>
      <xdr:colOff>39542</xdr:colOff>
      <xdr:row>8</xdr:row>
      <xdr:rowOff>186253</xdr:rowOff>
    </xdr:from>
    <xdr:to>
      <xdr:col>7</xdr:col>
      <xdr:colOff>146840</xdr:colOff>
      <xdr:row>9</xdr:row>
      <xdr:rowOff>162984</xdr:rowOff>
    </xdr:to>
    <xdr:sp macro="" textlink="">
      <xdr:nvSpPr>
        <xdr:cNvPr id="31" name="四角形: 角を丸くする 30">
          <a:extLst>
            <a:ext uri="{FF2B5EF4-FFF2-40B4-BE49-F238E27FC236}">
              <a16:creationId xmlns:a16="http://schemas.microsoft.com/office/drawing/2014/main" id="{9A688AD1-1999-4295-98DA-0F486C24E769}"/>
            </a:ext>
          </a:extLst>
        </xdr:cNvPr>
        <xdr:cNvSpPr/>
      </xdr:nvSpPr>
      <xdr:spPr>
        <a:xfrm>
          <a:off x="9640742" y="1824553"/>
          <a:ext cx="1301098" cy="179931"/>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6</xdr:col>
      <xdr:colOff>1073534</xdr:colOff>
      <xdr:row>14</xdr:row>
      <xdr:rowOff>131829</xdr:rowOff>
    </xdr:from>
    <xdr:to>
      <xdr:col>17</xdr:col>
      <xdr:colOff>385164</xdr:colOff>
      <xdr:row>21</xdr:row>
      <xdr:rowOff>1514</xdr:rowOff>
    </xdr:to>
    <xdr:sp macro="" textlink="">
      <xdr:nvSpPr>
        <xdr:cNvPr id="35" name="吹き出し: 角を丸めた四角形 34">
          <a:extLst>
            <a:ext uri="{FF2B5EF4-FFF2-40B4-BE49-F238E27FC236}">
              <a16:creationId xmlns:a16="http://schemas.microsoft.com/office/drawing/2014/main" id="{1030EF02-792A-4AF1-AAA8-A044CAFD8ED3}"/>
            </a:ext>
          </a:extLst>
        </xdr:cNvPr>
        <xdr:cNvSpPr/>
      </xdr:nvSpPr>
      <xdr:spPr>
        <a:xfrm>
          <a:off x="10674734" y="3116329"/>
          <a:ext cx="12443430" cy="2308085"/>
        </a:xfrm>
        <a:prstGeom prst="wedgeRoundRectCallout">
          <a:avLst>
            <a:gd name="adj1" fmla="val -8362"/>
            <a:gd name="adj2" fmla="val -6516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rPr>
            <a:t>&lt;</a:t>
          </a:r>
          <a:r>
            <a:rPr kumimoji="1" lang="ja-JP" altLang="en-US" sz="1200">
              <a:solidFill>
                <a:sysClr val="windowText" lastClr="000000"/>
              </a:solidFill>
            </a:rPr>
            <a:t>期間情報の表示例：</a:t>
          </a:r>
          <a:r>
            <a:rPr kumimoji="1" lang="en-US" altLang="ja-JP" sz="1200">
              <a:solidFill>
                <a:sysClr val="windowText" lastClr="000000"/>
              </a:solidFill>
            </a:rPr>
            <a:t>(6)</a:t>
          </a:r>
          <a:r>
            <a:rPr kumimoji="1" lang="ja-JP" altLang="en-US" sz="1200">
              <a:solidFill>
                <a:sysClr val="windowText" lastClr="000000"/>
              </a:solidFill>
            </a:rPr>
            <a:t>基準年度変更で基準年度を翌年にずらす選択をした（</a:t>
          </a:r>
          <a:r>
            <a:rPr kumimoji="1" lang="en-US" altLang="ja-JP" sz="1200">
              <a:solidFill>
                <a:sysClr val="windowText" lastClr="000000"/>
              </a:solidFill>
            </a:rPr>
            <a:t>"</a:t>
          </a:r>
          <a:r>
            <a:rPr kumimoji="1" lang="ja-JP" altLang="en-US" sz="1200">
              <a:solidFill>
                <a:sysClr val="windowText" lastClr="000000"/>
              </a:solidFill>
            </a:rPr>
            <a:t>適用する</a:t>
          </a:r>
          <a:r>
            <a:rPr kumimoji="1" lang="en-US" altLang="ja-JP" sz="1200">
              <a:solidFill>
                <a:sysClr val="windowText" lastClr="000000"/>
              </a:solidFill>
            </a:rPr>
            <a:t>"</a:t>
          </a:r>
          <a:r>
            <a:rPr kumimoji="1" lang="ja-JP" altLang="en-US" sz="1200">
              <a:solidFill>
                <a:sysClr val="windowText" lastClr="000000"/>
              </a:solidFill>
            </a:rPr>
            <a:t>）／しない（</a:t>
          </a:r>
          <a:r>
            <a:rPr kumimoji="1" lang="en-US" altLang="ja-JP" sz="1200">
              <a:solidFill>
                <a:sysClr val="windowText" lastClr="000000"/>
              </a:solidFill>
            </a:rPr>
            <a:t>"</a:t>
          </a:r>
          <a:r>
            <a:rPr kumimoji="1" lang="ja-JP" altLang="en-US" sz="1200">
              <a:solidFill>
                <a:sysClr val="windowText" lastClr="000000"/>
              </a:solidFill>
            </a:rPr>
            <a:t>適用しない</a:t>
          </a:r>
          <a:r>
            <a:rPr kumimoji="1" lang="en-US" altLang="ja-JP" sz="1200">
              <a:solidFill>
                <a:sysClr val="windowText" lastClr="000000"/>
              </a:solidFill>
            </a:rPr>
            <a:t>"</a:t>
          </a:r>
          <a:r>
            <a:rPr kumimoji="1" lang="ja-JP" altLang="en-US" sz="1200">
              <a:solidFill>
                <a:sysClr val="windowText" lastClr="000000"/>
              </a:solidFill>
            </a:rPr>
            <a:t>）場合による違い</a:t>
          </a:r>
          <a:r>
            <a:rPr kumimoji="1" lang="en-US" altLang="ja-JP" sz="1200">
              <a:solidFill>
                <a:sysClr val="windowText" lastClr="000000"/>
              </a:solidFill>
            </a:rPr>
            <a:t>&gt;</a:t>
          </a:r>
        </a:p>
      </xdr:txBody>
    </xdr:sp>
    <xdr:clientData/>
  </xdr:twoCellAnchor>
  <xdr:twoCellAnchor>
    <xdr:from>
      <xdr:col>17</xdr:col>
      <xdr:colOff>178336</xdr:colOff>
      <xdr:row>29</xdr:row>
      <xdr:rowOff>11286</xdr:rowOff>
    </xdr:from>
    <xdr:to>
      <xdr:col>21</xdr:col>
      <xdr:colOff>478</xdr:colOff>
      <xdr:row>34</xdr:row>
      <xdr:rowOff>109962</xdr:rowOff>
    </xdr:to>
    <xdr:sp macro="" textlink="">
      <xdr:nvSpPr>
        <xdr:cNvPr id="36" name="吹き出し: 角を丸めた四角形 35">
          <a:extLst>
            <a:ext uri="{FF2B5EF4-FFF2-40B4-BE49-F238E27FC236}">
              <a16:creationId xmlns:a16="http://schemas.microsoft.com/office/drawing/2014/main" id="{59FA602C-0984-4336-8D78-18E30FD01076}"/>
            </a:ext>
          </a:extLst>
        </xdr:cNvPr>
        <xdr:cNvSpPr/>
      </xdr:nvSpPr>
      <xdr:spPr>
        <a:xfrm>
          <a:off x="22911336" y="8215486"/>
          <a:ext cx="3962342" cy="1521076"/>
        </a:xfrm>
        <a:prstGeom prst="wedgeRoundRectCallout">
          <a:avLst>
            <a:gd name="adj1" fmla="val -59462"/>
            <a:gd name="adj2" fmla="val -473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marL="0" indent="0" algn="l"/>
          <a:r>
            <a:rPr kumimoji="1" lang="en-US" altLang="ja-JP" sz="1200">
              <a:solidFill>
                <a:sysClr val="windowText" lastClr="000000"/>
              </a:solidFill>
              <a:latin typeface="+mn-ea"/>
              <a:ea typeface="+mn-ea"/>
              <a:cs typeface="+mn-cs"/>
            </a:rPr>
            <a:t>2-4</a:t>
          </a:r>
          <a:r>
            <a:rPr kumimoji="1" lang="ja-JP" altLang="en-US" sz="1200">
              <a:solidFill>
                <a:sysClr val="windowText" lastClr="000000"/>
              </a:solidFill>
              <a:latin typeface="+mn-ea"/>
              <a:ea typeface="+mn-ea"/>
              <a:cs typeface="+mn-cs"/>
            </a:rPr>
            <a:t>（給与支給総額）</a:t>
          </a:r>
          <a:r>
            <a:rPr kumimoji="1" lang="en-US" altLang="ja-JP" sz="1200">
              <a:solidFill>
                <a:sysClr val="windowText" lastClr="000000"/>
              </a:solidFill>
              <a:latin typeface="+mn-ea"/>
              <a:ea typeface="+mn-ea"/>
              <a:cs typeface="+mn-cs"/>
            </a:rPr>
            <a:t>~2-9</a:t>
          </a:r>
          <a:r>
            <a:rPr kumimoji="1" lang="ja-JP" altLang="en-US" sz="1200">
              <a:solidFill>
                <a:sysClr val="windowText" lastClr="000000"/>
              </a:solidFill>
              <a:latin typeface="+mn-ea"/>
              <a:ea typeface="+mn-ea"/>
              <a:cs typeface="+mn-cs"/>
            </a:rPr>
            <a:t>（役員数）の入力内容に応じて、最新決算期から基準年度の従業員・役員合わせた</a:t>
          </a:r>
          <a:r>
            <a:rPr kumimoji="1" lang="en-US" altLang="ja-JP" sz="1200">
              <a:solidFill>
                <a:sysClr val="windowText" lastClr="000000"/>
              </a:solidFill>
              <a:latin typeface="+mn-ea"/>
              <a:ea typeface="+mn-ea"/>
              <a:cs typeface="+mn-cs"/>
            </a:rPr>
            <a:t>1</a:t>
          </a:r>
          <a:r>
            <a:rPr kumimoji="1" lang="ja-JP" altLang="en-US" sz="1200">
              <a:solidFill>
                <a:sysClr val="windowText" lastClr="000000"/>
              </a:solidFill>
              <a:latin typeface="+mn-ea"/>
              <a:ea typeface="+mn-ea"/>
              <a:cs typeface="+mn-cs"/>
            </a:rPr>
            <a:t>人当たりの給与支給総額の年平均上昇率が計算されます。</a:t>
          </a:r>
          <a:endParaRPr kumimoji="1" lang="en-US" altLang="ja-JP" sz="1200">
            <a:solidFill>
              <a:sysClr val="windowText" lastClr="000000"/>
            </a:solidFill>
            <a:latin typeface="+mn-ea"/>
            <a:ea typeface="+mn-ea"/>
            <a:cs typeface="+mn-cs"/>
          </a:endParaRPr>
        </a:p>
      </xdr:txBody>
    </xdr:sp>
    <xdr:clientData/>
  </xdr:twoCellAnchor>
  <xdr:twoCellAnchor editAs="oneCell">
    <xdr:from>
      <xdr:col>7</xdr:col>
      <xdr:colOff>112921</xdr:colOff>
      <xdr:row>19</xdr:row>
      <xdr:rowOff>148757</xdr:rowOff>
    </xdr:from>
    <xdr:to>
      <xdr:col>17</xdr:col>
      <xdr:colOff>74944</xdr:colOff>
      <xdr:row>20</xdr:row>
      <xdr:rowOff>248485</xdr:rowOff>
    </xdr:to>
    <xdr:pic>
      <xdr:nvPicPr>
        <xdr:cNvPr id="37" name="図 36">
          <a:extLst>
            <a:ext uri="{FF2B5EF4-FFF2-40B4-BE49-F238E27FC236}">
              <a16:creationId xmlns:a16="http://schemas.microsoft.com/office/drawing/2014/main" id="{5391BD66-D14F-4DEB-91F4-17C0B7E2D6E0}"/>
            </a:ext>
          </a:extLst>
        </xdr:cNvPr>
        <xdr:cNvPicPr>
          <a:picLocks noChangeAspect="1"/>
        </xdr:cNvPicPr>
      </xdr:nvPicPr>
      <xdr:blipFill>
        <a:blip xmlns:r="http://schemas.openxmlformats.org/officeDocument/2006/relationships" r:embed="rId1"/>
        <a:stretch>
          <a:fillRect/>
        </a:stretch>
      </xdr:blipFill>
      <xdr:spPr>
        <a:xfrm>
          <a:off x="10907921" y="4835057"/>
          <a:ext cx="11900023" cy="468028"/>
        </a:xfrm>
        <a:prstGeom prst="rect">
          <a:avLst/>
        </a:prstGeom>
      </xdr:spPr>
    </xdr:pic>
    <xdr:clientData/>
  </xdr:twoCellAnchor>
  <xdr:twoCellAnchor editAs="oneCell">
    <xdr:from>
      <xdr:col>7</xdr:col>
      <xdr:colOff>140704</xdr:colOff>
      <xdr:row>16</xdr:row>
      <xdr:rowOff>269933</xdr:rowOff>
    </xdr:from>
    <xdr:to>
      <xdr:col>17</xdr:col>
      <xdr:colOff>161838</xdr:colOff>
      <xdr:row>18</xdr:row>
      <xdr:rowOff>11156</xdr:rowOff>
    </xdr:to>
    <xdr:pic>
      <xdr:nvPicPr>
        <xdr:cNvPr id="38" name="図 37">
          <a:extLst>
            <a:ext uri="{FF2B5EF4-FFF2-40B4-BE49-F238E27FC236}">
              <a16:creationId xmlns:a16="http://schemas.microsoft.com/office/drawing/2014/main" id="{DDD4B2D9-118B-4EEF-8A6B-5ACEE684B661}"/>
            </a:ext>
          </a:extLst>
        </xdr:cNvPr>
        <xdr:cNvPicPr>
          <a:picLocks noChangeAspect="1"/>
        </xdr:cNvPicPr>
      </xdr:nvPicPr>
      <xdr:blipFill>
        <a:blip xmlns:r="http://schemas.openxmlformats.org/officeDocument/2006/relationships" r:embed="rId2"/>
        <a:stretch>
          <a:fillRect/>
        </a:stretch>
      </xdr:blipFill>
      <xdr:spPr>
        <a:xfrm>
          <a:off x="10935704" y="3851333"/>
          <a:ext cx="11965484" cy="477823"/>
        </a:xfrm>
        <a:prstGeom prst="rect">
          <a:avLst/>
        </a:prstGeom>
      </xdr:spPr>
    </xdr:pic>
    <xdr:clientData/>
  </xdr:twoCellAnchor>
  <xdr:twoCellAnchor>
    <xdr:from>
      <xdr:col>4</xdr:col>
      <xdr:colOff>2409565</xdr:colOff>
      <xdr:row>31</xdr:row>
      <xdr:rowOff>32121</xdr:rowOff>
    </xdr:from>
    <xdr:to>
      <xdr:col>5</xdr:col>
      <xdr:colOff>1931478</xdr:colOff>
      <xdr:row>35</xdr:row>
      <xdr:rowOff>122532</xdr:rowOff>
    </xdr:to>
    <xdr:sp macro="" textlink="">
      <xdr:nvSpPr>
        <xdr:cNvPr id="39" name="吹き出し: 角を丸めた四角形 38">
          <a:extLst>
            <a:ext uri="{FF2B5EF4-FFF2-40B4-BE49-F238E27FC236}">
              <a16:creationId xmlns:a16="http://schemas.microsoft.com/office/drawing/2014/main" id="{48961BA3-7C71-4561-90CA-6E0F73F2D811}"/>
            </a:ext>
          </a:extLst>
        </xdr:cNvPr>
        <xdr:cNvSpPr/>
      </xdr:nvSpPr>
      <xdr:spPr>
        <a:xfrm>
          <a:off x="3831965" y="8693521"/>
          <a:ext cx="5313113" cy="1423911"/>
        </a:xfrm>
        <a:prstGeom prst="wedgeRoundRectCallout">
          <a:avLst>
            <a:gd name="adj1" fmla="val -55847"/>
            <a:gd name="adj2" fmla="val 4373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常時使用する従業員とは、労働基準法第</a:t>
          </a:r>
          <a:r>
            <a:rPr kumimoji="1" lang="en-US" altLang="ja-JP" sz="1200">
              <a:solidFill>
                <a:sysClr val="windowText" lastClr="000000"/>
              </a:solidFill>
              <a:latin typeface="+mn-ea"/>
              <a:ea typeface="+mn-ea"/>
            </a:rPr>
            <a:t>20</a:t>
          </a:r>
          <a:r>
            <a:rPr kumimoji="1" lang="ja-JP" altLang="en-US" sz="1200">
              <a:solidFill>
                <a:sysClr val="windowText" lastClr="000000"/>
              </a:solidFill>
              <a:latin typeface="+mn-ea"/>
              <a:ea typeface="+mn-ea"/>
            </a:rPr>
            <a:t>条の規定に基づく「予め解雇の予告を必要とする者」と解されます。これには、日々雇い入れられる者、２か月以内の期間を定めて使用される者、季節的業務に４か月以内の期間を定めて使用される者、試みの使用期間中の者は含まれません。</a:t>
          </a:r>
          <a:endParaRPr kumimoji="1" lang="en-US" altLang="ja-JP" sz="1200">
            <a:solidFill>
              <a:sysClr val="windowText" lastClr="000000"/>
            </a:solidFill>
            <a:latin typeface="+mn-ea"/>
            <a:ea typeface="+mn-ea"/>
          </a:endParaRPr>
        </a:p>
      </xdr:txBody>
    </xdr:sp>
    <xdr:clientData/>
  </xdr:twoCellAnchor>
  <xdr:twoCellAnchor>
    <xdr:from>
      <xdr:col>4</xdr:col>
      <xdr:colOff>2544344</xdr:colOff>
      <xdr:row>36</xdr:row>
      <xdr:rowOff>78444</xdr:rowOff>
    </xdr:from>
    <xdr:to>
      <xdr:col>5</xdr:col>
      <xdr:colOff>371835</xdr:colOff>
      <xdr:row>38</xdr:row>
      <xdr:rowOff>353557</xdr:rowOff>
    </xdr:to>
    <xdr:sp macro="" textlink="">
      <xdr:nvSpPr>
        <xdr:cNvPr id="40" name="吹き出し: 角を丸めた四角形 39">
          <a:extLst>
            <a:ext uri="{FF2B5EF4-FFF2-40B4-BE49-F238E27FC236}">
              <a16:creationId xmlns:a16="http://schemas.microsoft.com/office/drawing/2014/main" id="{67F7DB7D-9C36-4563-8BF4-B2AA56D0AFBA}"/>
            </a:ext>
          </a:extLst>
        </xdr:cNvPr>
        <xdr:cNvSpPr/>
      </xdr:nvSpPr>
      <xdr:spPr>
        <a:xfrm>
          <a:off x="3966744" y="10441644"/>
          <a:ext cx="3618691" cy="1011713"/>
        </a:xfrm>
        <a:prstGeom prst="wedgeRoundRectCallout">
          <a:avLst>
            <a:gd name="adj1" fmla="val -58511"/>
            <a:gd name="adj2" fmla="val 2627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特別償却費・即時償却費については、売上原価・販管費に含めている場合は減価償却費に含め、それ以外の場合は含めずに入力してください。</a:t>
          </a:r>
        </a:p>
      </xdr:txBody>
    </xdr:sp>
    <xdr:clientData/>
  </xdr:twoCellAnchor>
  <xdr:twoCellAnchor>
    <xdr:from>
      <xdr:col>6</xdr:col>
      <xdr:colOff>619985</xdr:colOff>
      <xdr:row>32</xdr:row>
      <xdr:rowOff>22007</xdr:rowOff>
    </xdr:from>
    <xdr:to>
      <xdr:col>14</xdr:col>
      <xdr:colOff>892342</xdr:colOff>
      <xdr:row>45</xdr:row>
      <xdr:rowOff>17319</xdr:rowOff>
    </xdr:to>
    <xdr:grpSp>
      <xdr:nvGrpSpPr>
        <xdr:cNvPr id="42" name="グループ化 41">
          <a:extLst>
            <a:ext uri="{FF2B5EF4-FFF2-40B4-BE49-F238E27FC236}">
              <a16:creationId xmlns:a16="http://schemas.microsoft.com/office/drawing/2014/main" id="{3F8A884F-F284-4EF3-8514-ADDFB06255F8}"/>
            </a:ext>
          </a:extLst>
        </xdr:cNvPr>
        <xdr:cNvGrpSpPr/>
      </xdr:nvGrpSpPr>
      <xdr:grpSpPr>
        <a:xfrm>
          <a:off x="10211660" y="8870732"/>
          <a:ext cx="9797357" cy="4824487"/>
          <a:chOff x="9737911" y="8487318"/>
          <a:chExt cx="9776041" cy="4092096"/>
        </a:xfrm>
        <a:solidFill>
          <a:schemeClr val="accent1">
            <a:lumMod val="60000"/>
            <a:lumOff val="40000"/>
          </a:schemeClr>
        </a:solidFill>
      </xdr:grpSpPr>
      <xdr:sp macro="" textlink="">
        <xdr:nvSpPr>
          <xdr:cNvPr id="43" name="四角形: 角を丸くする 42">
            <a:extLst>
              <a:ext uri="{FF2B5EF4-FFF2-40B4-BE49-F238E27FC236}">
                <a16:creationId xmlns:a16="http://schemas.microsoft.com/office/drawing/2014/main" id="{1FF0EEF1-A1FA-ADCB-A15E-EE82B311C614}"/>
              </a:ext>
            </a:extLst>
          </xdr:cNvPr>
          <xdr:cNvSpPr/>
        </xdr:nvSpPr>
        <xdr:spPr>
          <a:xfrm>
            <a:off x="9755858" y="8487318"/>
            <a:ext cx="5521438" cy="905814"/>
          </a:xfrm>
          <a:prstGeom prst="roundRect">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従業員</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人当たり給与支給総額の上昇率 及び 労働生産性は、従業員の総就業時間ベースで審査いたします。</a:t>
            </a:r>
            <a:endParaRPr kumimoji="1" lang="en-US" altLang="ja-JP" sz="1200">
              <a:solidFill>
                <a:sysClr val="windowText" lastClr="000000"/>
              </a:solidFill>
              <a:latin typeface="+mn-ea"/>
              <a:ea typeface="+mn-ea"/>
            </a:endParaRPr>
          </a:p>
          <a:p>
            <a:pPr algn="l"/>
            <a:r>
              <a:rPr kumimoji="1" lang="ja-JP" altLang="en-US" sz="1200" b="1">
                <a:solidFill>
                  <a:sysClr val="windowText" lastClr="000000"/>
                </a:solidFill>
                <a:latin typeface="+mn-ea"/>
                <a:ea typeface="+mn-ea"/>
              </a:rPr>
              <a:t>本シート</a:t>
            </a:r>
            <a:r>
              <a:rPr kumimoji="1" lang="en-US" altLang="ja-JP" sz="1200" b="1">
                <a:solidFill>
                  <a:sysClr val="windowText" lastClr="000000"/>
                </a:solidFill>
                <a:latin typeface="+mn-ea"/>
                <a:ea typeface="+mn-ea"/>
              </a:rPr>
              <a:t>957~967</a:t>
            </a:r>
            <a:r>
              <a:rPr kumimoji="1" lang="ja-JP" altLang="en-US" sz="1200" b="1">
                <a:solidFill>
                  <a:sysClr val="windowText" lastClr="000000"/>
                </a:solidFill>
                <a:latin typeface="+mn-ea"/>
                <a:ea typeface="+mn-ea"/>
              </a:rPr>
              <a:t>行目の</a:t>
            </a:r>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r>
              <a:rPr kumimoji="1" lang="ja-JP" altLang="en-US" sz="1200">
                <a:solidFill>
                  <a:sysClr val="windowText" lastClr="000000"/>
                </a:solidFill>
                <a:latin typeface="+mn-ea"/>
                <a:ea typeface="+mn-ea"/>
              </a:rPr>
              <a:t>を確認の上、入力してください。</a:t>
            </a:r>
            <a:endParaRPr kumimoji="1" lang="en-US" altLang="ja-JP" sz="1200">
              <a:solidFill>
                <a:sysClr val="windowText" lastClr="000000"/>
              </a:solidFill>
              <a:latin typeface="+mn-ea"/>
              <a:ea typeface="+mn-ea"/>
            </a:endParaRPr>
          </a:p>
        </xdr:txBody>
      </xdr:sp>
      <xdr:sp macro="" textlink="">
        <xdr:nvSpPr>
          <xdr:cNvPr id="46" name="四角形: 角を丸くする 45">
            <a:extLst>
              <a:ext uri="{FF2B5EF4-FFF2-40B4-BE49-F238E27FC236}">
                <a16:creationId xmlns:a16="http://schemas.microsoft.com/office/drawing/2014/main" id="{2E04CB51-611B-FF91-17FE-145E2C6164EA}"/>
              </a:ext>
            </a:extLst>
          </xdr:cNvPr>
          <xdr:cNvSpPr/>
        </xdr:nvSpPr>
        <xdr:spPr>
          <a:xfrm>
            <a:off x="10542052" y="9537915"/>
            <a:ext cx="8971900" cy="3041499"/>
          </a:xfrm>
          <a:prstGeom prst="roundRect">
            <a:avLst>
              <a:gd name="adj" fmla="val 8048"/>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p>
          <a:p>
            <a:pPr algn="l"/>
            <a:r>
              <a:rPr kumimoji="1" lang="ja-JP" altLang="en-US" sz="1200" b="0">
                <a:solidFill>
                  <a:sysClr val="windowText" lastClr="000000"/>
                </a:solidFill>
                <a:latin typeface="+mn-ea"/>
                <a:ea typeface="+mn-ea"/>
              </a:rPr>
              <a:t>従業員</a:t>
            </a:r>
            <a:r>
              <a:rPr kumimoji="1" lang="en-US" altLang="ja-JP" sz="1200" b="0">
                <a:solidFill>
                  <a:sysClr val="windowText" lastClr="000000"/>
                </a:solidFill>
                <a:latin typeface="+mn-ea"/>
                <a:ea typeface="+mn-ea"/>
              </a:rPr>
              <a:t>1</a:t>
            </a:r>
            <a:r>
              <a:rPr kumimoji="1" lang="ja-JP" altLang="en-US" sz="1200" b="0">
                <a:solidFill>
                  <a:sysClr val="windowText" lastClr="000000"/>
                </a:solidFill>
                <a:latin typeface="+mn-ea"/>
                <a:ea typeface="+mn-ea"/>
              </a:rPr>
              <a:t>人当たり給与支給総額の上昇率 及び 労働生産性は、従業員の総就業時間ベースで審査いたします。</a:t>
            </a:r>
            <a:endParaRPr kumimoji="1" lang="en-US" altLang="ja-JP" sz="1200" b="0">
              <a:solidFill>
                <a:sysClr val="windowText" lastClr="000000"/>
              </a:solidFill>
              <a:latin typeface="+mn-ea"/>
              <a:ea typeface="+mn-ea"/>
            </a:endParaRPr>
          </a:p>
          <a:p>
            <a:pPr algn="l"/>
            <a:r>
              <a:rPr kumimoji="1" lang="ja-JP" altLang="en-US" sz="1200" b="0">
                <a:solidFill>
                  <a:sysClr val="windowText" lastClr="000000"/>
                </a:solidFill>
                <a:latin typeface="+mn-ea"/>
                <a:ea typeface="+mn-ea"/>
              </a:rPr>
              <a:t>なお、正社員は従業員数ベースでカウントし、就業時間換算はパートタイム従業者に対して適用してください。</a:t>
            </a:r>
            <a:endParaRPr kumimoji="1" lang="en-US" altLang="ja-JP" sz="1200" b="0">
              <a:solidFill>
                <a:sysClr val="windowText" lastClr="000000"/>
              </a:solidFill>
              <a:latin typeface="+mn-ea"/>
              <a:ea typeface="+mn-ea"/>
            </a:endParaRPr>
          </a:p>
          <a:p>
            <a:pPr algn="l"/>
            <a:r>
              <a:rPr kumimoji="1" lang="ja-JP" altLang="en-US" sz="1200" b="0">
                <a:solidFill>
                  <a:sysClr val="windowText" lastClr="000000"/>
                </a:solidFill>
                <a:latin typeface="+mn-ea"/>
                <a:ea typeface="+mn-ea"/>
              </a:rPr>
              <a:t>その場合、所定労働時間に換算するため、残業・深夜労働時間は含まず、事業者様の定時勤務時間で算出してください。</a:t>
            </a:r>
            <a:endParaRPr kumimoji="1" lang="en-US" altLang="ja-JP" sz="1200" b="0">
              <a:solidFill>
                <a:sysClr val="windowText" lastClr="000000"/>
              </a:solidFill>
              <a:latin typeface="+mn-ea"/>
              <a:ea typeface="+mn-ea"/>
            </a:endParaRPr>
          </a:p>
          <a:p>
            <a:pPr lvl="0" algn="l"/>
            <a:r>
              <a:rPr kumimoji="1" lang="ja-JP" altLang="en-US" sz="1200" b="1">
                <a:solidFill>
                  <a:sysClr val="windowText" lastClr="000000"/>
                </a:solidFill>
                <a:latin typeface="+mn-ea"/>
                <a:ea typeface="+mn-ea"/>
              </a:rPr>
              <a:t>＜就業時間換算パートタイム従業員数の考え方＞</a:t>
            </a:r>
            <a:endParaRPr kumimoji="1" lang="en-US" altLang="ja-JP" sz="1200" b="1">
              <a:solidFill>
                <a:sysClr val="windowText" lastClr="000000"/>
              </a:solidFill>
              <a:latin typeface="+mn-ea"/>
              <a:ea typeface="+mn-ea"/>
            </a:endParaRPr>
          </a:p>
          <a:p>
            <a:pPr lvl="0" algn="l"/>
            <a:r>
              <a:rPr kumimoji="1" lang="ja-JP" altLang="en-US" sz="1200">
                <a:solidFill>
                  <a:sysClr val="windowText" lastClr="000000"/>
                </a:solidFill>
                <a:latin typeface="+mn-ea"/>
                <a:ea typeface="+mn-ea"/>
              </a:rPr>
              <a:t>常用雇用者（企業に常時雇用されている者（期間を定めずに雇用されている者、１か月を超える期間を定めて雇用されている者又は企業が主として給与を負担している場合は含み、そうでない場合は除く。他の企業などから派遣されている者（労働者派遣法にいう派遣労働者）は除く。）のうち、１日の所定労働時間が正社員・正職員（一般に「正社員」、「正職員」などと呼ばれている者をいう。以下同じ。）よりも短い者又は１日の所定労働時間が正社員・正職員と同じで１週の所定労働日数が正社員・正職員よりも少ない者のいずれかに該当する者について、全員の１週の就業時間を足し合わせ、正社員・正職員の１人の就業時間で換算した人数。</a:t>
            </a:r>
            <a:endParaRPr kumimoji="1" lang="en-US" altLang="ja-JP" sz="1200">
              <a:solidFill>
                <a:sysClr val="windowText" lastClr="000000"/>
              </a:solidFill>
              <a:latin typeface="+mn-ea"/>
              <a:ea typeface="+mn-ea"/>
            </a:endParaRPr>
          </a:p>
          <a:p>
            <a:pPr lvl="0" algn="l"/>
            <a:r>
              <a:rPr kumimoji="1" lang="ja-JP" altLang="en-US" sz="1200" b="0">
                <a:solidFill>
                  <a:sysClr val="windowText" lastClr="000000"/>
                </a:solidFill>
                <a:latin typeface="+mn-ea"/>
                <a:ea typeface="+mn-ea"/>
              </a:rPr>
              <a:t>計算式としては、「パートタイム従業者の年就業時間</a:t>
            </a:r>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正社員</a:t>
            </a:r>
            <a:r>
              <a:rPr kumimoji="1" lang="en-US" altLang="ja-JP" sz="1200" b="0">
                <a:solidFill>
                  <a:sysClr val="windowText" lastClr="000000"/>
                </a:solidFill>
                <a:latin typeface="+mn-ea"/>
                <a:ea typeface="+mn-ea"/>
              </a:rPr>
              <a:t>1</a:t>
            </a:r>
            <a:r>
              <a:rPr kumimoji="1" lang="ja-JP" altLang="en-US" sz="1200" b="0">
                <a:solidFill>
                  <a:sysClr val="windowText" lastClr="000000"/>
                </a:solidFill>
                <a:latin typeface="+mn-ea"/>
                <a:ea typeface="+mn-ea"/>
              </a:rPr>
              <a:t>人当たり年就業時間」</a:t>
            </a:r>
            <a:endParaRPr kumimoji="1" lang="en-US" altLang="ja-JP" sz="1200" b="0">
              <a:solidFill>
                <a:sysClr val="windowText" lastClr="000000"/>
              </a:solidFill>
              <a:latin typeface="+mn-ea"/>
              <a:ea typeface="+mn-ea"/>
            </a:endParaRPr>
          </a:p>
        </xdr:txBody>
      </xdr:sp>
      <xdr:cxnSp macro="">
        <xdr:nvCxnSpPr>
          <xdr:cNvPr id="47" name="コネクタ: カギ線 46">
            <a:extLst>
              <a:ext uri="{FF2B5EF4-FFF2-40B4-BE49-F238E27FC236}">
                <a16:creationId xmlns:a16="http://schemas.microsoft.com/office/drawing/2014/main" id="{151B176B-E264-6894-2346-64CFC80FA7B2}"/>
              </a:ext>
            </a:extLst>
          </xdr:cNvPr>
          <xdr:cNvCxnSpPr/>
        </xdr:nvCxnSpPr>
        <xdr:spPr>
          <a:xfrm flipH="1" flipV="1">
            <a:off x="9737911" y="8843902"/>
            <a:ext cx="864200" cy="905814"/>
          </a:xfrm>
          <a:prstGeom prst="bentConnector3">
            <a:avLst>
              <a:gd name="adj1" fmla="val 128231"/>
            </a:avLst>
          </a:prstGeom>
          <a:grpFill/>
          <a:ln w="28575">
            <a:solidFill>
              <a:srgbClr val="E261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920311</xdr:colOff>
      <xdr:row>17</xdr:row>
      <xdr:rowOff>210186</xdr:rowOff>
    </xdr:from>
    <xdr:to>
      <xdr:col>13</xdr:col>
      <xdr:colOff>469488</xdr:colOff>
      <xdr:row>17</xdr:row>
      <xdr:rowOff>357696</xdr:rowOff>
    </xdr:to>
    <xdr:sp macro="" textlink="">
      <xdr:nvSpPr>
        <xdr:cNvPr id="48" name="正方形/長方形 47">
          <a:extLst>
            <a:ext uri="{FF2B5EF4-FFF2-40B4-BE49-F238E27FC236}">
              <a16:creationId xmlns:a16="http://schemas.microsoft.com/office/drawing/2014/main" id="{6FB78F41-7BE7-47EA-838B-4E2419991D8D}"/>
            </a:ext>
          </a:extLst>
        </xdr:cNvPr>
        <xdr:cNvSpPr/>
      </xdr:nvSpPr>
      <xdr:spPr>
        <a:xfrm>
          <a:off x="17684311" y="4159886"/>
          <a:ext cx="742977" cy="147510"/>
        </a:xfrm>
        <a:prstGeom prst="rect">
          <a:avLst/>
        </a:prstGeom>
        <a:solidFill>
          <a:schemeClr val="accent1">
            <a:lumMod val="60000"/>
            <a:lumOff val="4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411459</xdr:colOff>
      <xdr:row>20</xdr:row>
      <xdr:rowOff>43133</xdr:rowOff>
    </xdr:from>
    <xdr:to>
      <xdr:col>13</xdr:col>
      <xdr:colOff>1134424</xdr:colOff>
      <xdr:row>20</xdr:row>
      <xdr:rowOff>216428</xdr:rowOff>
    </xdr:to>
    <xdr:sp macro="" textlink="">
      <xdr:nvSpPr>
        <xdr:cNvPr id="49" name="正方形/長方形 48">
          <a:extLst>
            <a:ext uri="{FF2B5EF4-FFF2-40B4-BE49-F238E27FC236}">
              <a16:creationId xmlns:a16="http://schemas.microsoft.com/office/drawing/2014/main" id="{E70F5E66-33CB-4E7E-9FC7-0730EF78F7A8}"/>
            </a:ext>
          </a:extLst>
        </xdr:cNvPr>
        <xdr:cNvSpPr/>
      </xdr:nvSpPr>
      <xdr:spPr>
        <a:xfrm>
          <a:off x="18369259" y="5097733"/>
          <a:ext cx="722965" cy="173295"/>
        </a:xfrm>
        <a:prstGeom prst="rect">
          <a:avLst/>
        </a:prstGeom>
        <a:solidFill>
          <a:schemeClr val="accent1">
            <a:lumMod val="60000"/>
            <a:lumOff val="4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62814</xdr:colOff>
      <xdr:row>45</xdr:row>
      <xdr:rowOff>139700</xdr:rowOff>
    </xdr:from>
    <xdr:to>
      <xdr:col>14</xdr:col>
      <xdr:colOff>904041</xdr:colOff>
      <xdr:row>49</xdr:row>
      <xdr:rowOff>139334</xdr:rowOff>
    </xdr:to>
    <xdr:sp macro="" textlink="">
      <xdr:nvSpPr>
        <xdr:cNvPr id="50" name="吹き出し: 角を丸めた四角形 76">
          <a:extLst>
            <a:ext uri="{FF2B5EF4-FFF2-40B4-BE49-F238E27FC236}">
              <a16:creationId xmlns:a16="http://schemas.microsoft.com/office/drawing/2014/main" id="{F3CF04AC-4ACA-46EA-B915-E4983448FDF1}"/>
            </a:ext>
          </a:extLst>
        </xdr:cNvPr>
        <xdr:cNvSpPr/>
      </xdr:nvSpPr>
      <xdr:spPr>
        <a:xfrm>
          <a:off x="9664014" y="13817600"/>
          <a:ext cx="10391627" cy="1193434"/>
        </a:xfrm>
        <a:prstGeom prst="wedgeRoundRectCallout">
          <a:avLst>
            <a:gd name="adj1" fmla="val -54380"/>
            <a:gd name="adj2" fmla="val 28687"/>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marL="0" lvl="0" indent="0" algn="l"/>
          <a:r>
            <a:rPr kumimoji="1" lang="ja-JP" altLang="en-US" sz="1200" b="0">
              <a:solidFill>
                <a:sysClr val="windowText" lastClr="000000"/>
              </a:solidFill>
              <a:latin typeface="+mn-ea"/>
              <a:ea typeface="+mn-ea"/>
              <a:cs typeface="+mn-cs"/>
            </a:rPr>
            <a:t>設備投資額：建物、構築物、機械装置、土地、建設仮勘定、建物及び付属設備、構築物、機械及び装置、搬送設備及びその他の付属設備、船舶及び水上運搬具、鉄道車両、自動車その他の陸上運搬具、工具、器具及び備品（耐用年数が１年以上のものに限る。）、土地、建設仮勘定、その他の有形資産で流動資産又は投資たる資産に属しないものの額。修繕、増築、改造、購入手数料の費用の額を指します。詳細は右記の</a:t>
          </a:r>
          <a:r>
            <a:rPr kumimoji="1" lang="en-US" altLang="ja-JP" sz="1200" b="0">
              <a:solidFill>
                <a:sysClr val="windowText" lastClr="000000"/>
              </a:solidFill>
              <a:latin typeface="+mn-ea"/>
              <a:ea typeface="+mn-ea"/>
              <a:cs typeface="+mn-cs"/>
            </a:rPr>
            <a:t>URL</a:t>
          </a:r>
          <a:r>
            <a:rPr kumimoji="1" lang="ja-JP" altLang="en-US" sz="1200" b="0">
              <a:solidFill>
                <a:sysClr val="windowText" lastClr="000000"/>
              </a:solidFill>
              <a:latin typeface="+mn-ea"/>
              <a:ea typeface="+mn-ea"/>
              <a:cs typeface="+mn-cs"/>
            </a:rPr>
            <a:t>を参考ください。</a:t>
          </a:r>
          <a:endParaRPr kumimoji="1" lang="en-US" altLang="ja-JP" sz="1200" b="0">
            <a:solidFill>
              <a:sysClr val="windowText" lastClr="000000"/>
            </a:solidFill>
            <a:latin typeface="+mn-ea"/>
            <a:ea typeface="+mn-ea"/>
            <a:cs typeface="+mn-cs"/>
          </a:endParaRPr>
        </a:p>
      </xdr:txBody>
    </xdr:sp>
    <xdr:clientData/>
  </xdr:twoCellAnchor>
  <xdr:twoCellAnchor>
    <xdr:from>
      <xdr:col>6</xdr:col>
      <xdr:colOff>50114</xdr:colOff>
      <xdr:row>51</xdr:row>
      <xdr:rowOff>345888</xdr:rowOff>
    </xdr:from>
    <xdr:to>
      <xdr:col>12</xdr:col>
      <xdr:colOff>785537</xdr:colOff>
      <xdr:row>54</xdr:row>
      <xdr:rowOff>89791</xdr:rowOff>
    </xdr:to>
    <xdr:sp macro="" textlink="">
      <xdr:nvSpPr>
        <xdr:cNvPr id="51" name="吹き出し: 角を丸めた四角形 46">
          <a:extLst>
            <a:ext uri="{FF2B5EF4-FFF2-40B4-BE49-F238E27FC236}">
              <a16:creationId xmlns:a16="http://schemas.microsoft.com/office/drawing/2014/main" id="{BEE5F47B-9108-4DE7-ABE2-B2429D18AAC6}"/>
            </a:ext>
          </a:extLst>
        </xdr:cNvPr>
        <xdr:cNvSpPr/>
      </xdr:nvSpPr>
      <xdr:spPr>
        <a:xfrm>
          <a:off x="9651314" y="15954188"/>
          <a:ext cx="7898223" cy="569403"/>
        </a:xfrm>
        <a:prstGeom prst="wedgeRoundRectCallout">
          <a:avLst>
            <a:gd name="adj1" fmla="val -53083"/>
            <a:gd name="adj2" fmla="val -4846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能力開発費：正社員・正職員、契約社員、パートタイム従業者、アルバイトその他対価を受け取ってその事業に従事するものの能力を開発するためにかかった額を指します。詳細は右記の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6</xdr:col>
      <xdr:colOff>85944</xdr:colOff>
      <xdr:row>49</xdr:row>
      <xdr:rowOff>290990</xdr:rowOff>
    </xdr:from>
    <xdr:to>
      <xdr:col>11</xdr:col>
      <xdr:colOff>661173</xdr:colOff>
      <xdr:row>51</xdr:row>
      <xdr:rowOff>154797</xdr:rowOff>
    </xdr:to>
    <xdr:sp macro="" textlink="">
      <xdr:nvSpPr>
        <xdr:cNvPr id="52" name="吹き出し: 角を丸めた四角形 51">
          <a:extLst>
            <a:ext uri="{FF2B5EF4-FFF2-40B4-BE49-F238E27FC236}">
              <a16:creationId xmlns:a16="http://schemas.microsoft.com/office/drawing/2014/main" id="{A7733F73-60AD-43DA-BC4C-43D2138B0A1F}"/>
            </a:ext>
          </a:extLst>
        </xdr:cNvPr>
        <xdr:cNvSpPr/>
      </xdr:nvSpPr>
      <xdr:spPr>
        <a:xfrm>
          <a:off x="9687144" y="15162690"/>
          <a:ext cx="6544229" cy="600407"/>
        </a:xfrm>
        <a:prstGeom prst="wedgeRoundRectCallout">
          <a:avLst>
            <a:gd name="adj1" fmla="val -55778"/>
            <a:gd name="adj2" fmla="val 1982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研究開発費：自社の研究開発のために、自社において使用した研究開発費の額を指します。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4</xdr:col>
      <xdr:colOff>1930855</xdr:colOff>
      <xdr:row>48</xdr:row>
      <xdr:rowOff>45171</xdr:rowOff>
    </xdr:from>
    <xdr:to>
      <xdr:col>5</xdr:col>
      <xdr:colOff>1388467</xdr:colOff>
      <xdr:row>50</xdr:row>
      <xdr:rowOff>36043</xdr:rowOff>
    </xdr:to>
    <xdr:sp macro="" textlink="">
      <xdr:nvSpPr>
        <xdr:cNvPr id="53" name="吹き出し: 角を丸めた四角形 52">
          <a:extLst>
            <a:ext uri="{FF2B5EF4-FFF2-40B4-BE49-F238E27FC236}">
              <a16:creationId xmlns:a16="http://schemas.microsoft.com/office/drawing/2014/main" id="{ED5B6A69-5C79-4E5C-926F-DB503E50AC9D}"/>
            </a:ext>
          </a:extLst>
        </xdr:cNvPr>
        <xdr:cNvSpPr/>
      </xdr:nvSpPr>
      <xdr:spPr>
        <a:xfrm>
          <a:off x="3353255" y="14548571"/>
          <a:ext cx="5248812" cy="727472"/>
        </a:xfrm>
        <a:prstGeom prst="wedgeRoundRectCallout">
          <a:avLst>
            <a:gd name="adj1" fmla="val -58243"/>
            <a:gd name="adj2" fmla="val 267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無形固定資産投資額に金融資産は該当されないため、無形固定資産投資額には含めずに記載をお願いいたします。詳細は右記の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p>
      </xdr:txBody>
    </xdr:sp>
    <xdr:clientData/>
  </xdr:twoCellAnchor>
  <xdr:twoCellAnchor>
    <xdr:from>
      <xdr:col>4</xdr:col>
      <xdr:colOff>1905000</xdr:colOff>
      <xdr:row>50</xdr:row>
      <xdr:rowOff>125866</xdr:rowOff>
    </xdr:from>
    <xdr:to>
      <xdr:col>5</xdr:col>
      <xdr:colOff>1398360</xdr:colOff>
      <xdr:row>53</xdr:row>
      <xdr:rowOff>180068</xdr:rowOff>
    </xdr:to>
    <xdr:sp macro="" textlink="">
      <xdr:nvSpPr>
        <xdr:cNvPr id="54" name="吹き出し: 角を丸めた四角形 53">
          <a:extLst>
            <a:ext uri="{FF2B5EF4-FFF2-40B4-BE49-F238E27FC236}">
              <a16:creationId xmlns:a16="http://schemas.microsoft.com/office/drawing/2014/main" id="{56B94018-1312-46E3-B17F-3C23286461EF}"/>
            </a:ext>
          </a:extLst>
        </xdr:cNvPr>
        <xdr:cNvSpPr/>
      </xdr:nvSpPr>
      <xdr:spPr>
        <a:xfrm>
          <a:off x="3320143" y="15352259"/>
          <a:ext cx="5290003" cy="1020309"/>
        </a:xfrm>
        <a:prstGeom prst="wedgeRoundRectCallout">
          <a:avLst>
            <a:gd name="adj1" fmla="val -66194"/>
            <a:gd name="adj2" fmla="val 4278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従前の場合には、様式１で記載した直近過去３年間の実績について記載ください。補助事業実施の場合には、様式１で記載した補助事業実施を踏まえた計画について記載ください。</a:t>
          </a:r>
        </a:p>
      </xdr:txBody>
    </xdr:sp>
    <xdr:clientData/>
  </xdr:twoCellAnchor>
  <xdr:twoCellAnchor>
    <xdr:from>
      <xdr:col>11</xdr:col>
      <xdr:colOff>373658</xdr:colOff>
      <xdr:row>62</xdr:row>
      <xdr:rowOff>50800</xdr:rowOff>
    </xdr:from>
    <xdr:to>
      <xdr:col>17</xdr:col>
      <xdr:colOff>513688</xdr:colOff>
      <xdr:row>78</xdr:row>
      <xdr:rowOff>331394</xdr:rowOff>
    </xdr:to>
    <xdr:sp macro="" textlink="">
      <xdr:nvSpPr>
        <xdr:cNvPr id="55" name="吹き出し: 角を丸めた四角形 54">
          <a:extLst>
            <a:ext uri="{FF2B5EF4-FFF2-40B4-BE49-F238E27FC236}">
              <a16:creationId xmlns:a16="http://schemas.microsoft.com/office/drawing/2014/main" id="{6C5F9776-5385-4CED-8430-EC321240BA6C}"/>
            </a:ext>
          </a:extLst>
        </xdr:cNvPr>
        <xdr:cNvSpPr/>
      </xdr:nvSpPr>
      <xdr:spPr>
        <a:xfrm>
          <a:off x="15943858" y="19151600"/>
          <a:ext cx="7302830" cy="6605194"/>
        </a:xfrm>
        <a:prstGeom prst="wedgeRoundRectCallout">
          <a:avLst>
            <a:gd name="adj1" fmla="val -105020"/>
            <a:gd name="adj2" fmla="val -1693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marL="0" indent="0" algn="l"/>
          <a:r>
            <a:rPr kumimoji="1" lang="en-US" altLang="ja-JP" sz="1200">
              <a:solidFill>
                <a:sysClr val="windowText" lastClr="000000"/>
              </a:solidFill>
              <a:latin typeface="+mn-ea"/>
              <a:ea typeface="+mn-ea"/>
              <a:cs typeface="+mn-cs"/>
            </a:rPr>
            <a:t>5-4 </a:t>
          </a:r>
          <a:r>
            <a:rPr kumimoji="1" lang="ja-JP" altLang="en-US" sz="1200">
              <a:solidFill>
                <a:sysClr val="windowText" lastClr="000000"/>
              </a:solidFill>
              <a:latin typeface="+mn-ea"/>
              <a:ea typeface="+mn-ea"/>
              <a:cs typeface="+mn-cs"/>
            </a:rPr>
            <a:t>次世代育成支援対策推進法に基づく一般事業主行動計画を公表している企業あるいはくるみん認定企業、</a:t>
          </a:r>
          <a:r>
            <a:rPr kumimoji="1" lang="en-US" altLang="ja-JP" sz="1200">
              <a:solidFill>
                <a:sysClr val="windowText" lastClr="000000"/>
              </a:solidFill>
              <a:latin typeface="+mn-ea"/>
              <a:ea typeface="+mn-ea"/>
              <a:cs typeface="+mn-cs"/>
            </a:rPr>
            <a:t>5-5 </a:t>
          </a:r>
          <a:r>
            <a:rPr kumimoji="1" lang="ja-JP" altLang="en-US" sz="1200">
              <a:solidFill>
                <a:sysClr val="windowText" lastClr="000000"/>
              </a:solidFill>
              <a:latin typeface="+mn-ea"/>
              <a:ea typeface="+mn-ea"/>
              <a:cs typeface="+mn-cs"/>
            </a:rPr>
            <a:t>女性活躍推進法に基づく一般事業主行動計画を公表している企業あるいはえるぼし認定企業は、該当の場合、総合サイト（</a:t>
          </a:r>
          <a:r>
            <a:rPr kumimoji="1" lang="en-US" altLang="ja-JP" sz="1200">
              <a:solidFill>
                <a:sysClr val="windowText" lastClr="000000"/>
              </a:solidFill>
              <a:latin typeface="+mn-ea"/>
              <a:ea typeface="+mn-ea"/>
              <a:cs typeface="+mn-cs"/>
            </a:rPr>
            <a:t>https://positive-ryouritsu.mhlw.go.jp/</a:t>
          </a:r>
          <a:r>
            <a:rPr kumimoji="1" lang="ja-JP" altLang="en-US" sz="1200">
              <a:solidFill>
                <a:sysClr val="windowText" lastClr="000000"/>
              </a:solidFill>
              <a:latin typeface="+mn-ea"/>
              <a:ea typeface="+mn-ea"/>
              <a:cs typeface="+mn-cs"/>
            </a:rPr>
            <a:t>）より検索を行い、下記のようなデータが記載されているウェブサイトの</a:t>
          </a:r>
          <a:r>
            <a:rPr kumimoji="1" lang="en-US" altLang="ja-JP" sz="1200">
              <a:solidFill>
                <a:sysClr val="windowText" lastClr="000000"/>
              </a:solidFill>
              <a:latin typeface="+mn-ea"/>
              <a:ea typeface="+mn-ea"/>
              <a:cs typeface="+mn-cs"/>
            </a:rPr>
            <a:t>URL</a:t>
          </a:r>
          <a:r>
            <a:rPr kumimoji="1" lang="ja-JP" altLang="en-US" sz="1200">
              <a:solidFill>
                <a:sysClr val="windowText" lastClr="000000"/>
              </a:solidFill>
              <a:latin typeface="+mn-ea"/>
              <a:ea typeface="+mn-ea"/>
              <a:cs typeface="+mn-cs"/>
            </a:rPr>
            <a:t>を記載してください。</a:t>
          </a:r>
          <a:endParaRPr kumimoji="1" lang="en-US" altLang="ja-JP" sz="1200">
            <a:solidFill>
              <a:sysClr val="windowText" lastClr="000000"/>
            </a:solidFill>
            <a:latin typeface="+mn-ea"/>
            <a:ea typeface="+mn-ea"/>
            <a:cs typeface="+mn-cs"/>
          </a:endParaRPr>
        </a:p>
      </xdr:txBody>
    </xdr:sp>
    <xdr:clientData/>
  </xdr:twoCellAnchor>
  <xdr:twoCellAnchor editAs="oneCell">
    <xdr:from>
      <xdr:col>11</xdr:col>
      <xdr:colOff>1026837</xdr:colOff>
      <xdr:row>67</xdr:row>
      <xdr:rowOff>349529</xdr:rowOff>
    </xdr:from>
    <xdr:to>
      <xdr:col>16</xdr:col>
      <xdr:colOff>820553</xdr:colOff>
      <xdr:row>77</xdr:row>
      <xdr:rowOff>163039</xdr:rowOff>
    </xdr:to>
    <xdr:pic>
      <xdr:nvPicPr>
        <xdr:cNvPr id="56" name="図 55">
          <a:extLst>
            <a:ext uri="{FF2B5EF4-FFF2-40B4-BE49-F238E27FC236}">
              <a16:creationId xmlns:a16="http://schemas.microsoft.com/office/drawing/2014/main" id="{7B786233-277D-4736-84B2-F88A0F88209D}"/>
            </a:ext>
          </a:extLst>
        </xdr:cNvPr>
        <xdr:cNvPicPr>
          <a:picLocks noChangeAspect="1"/>
        </xdr:cNvPicPr>
      </xdr:nvPicPr>
      <xdr:blipFill>
        <a:blip xmlns:r="http://schemas.openxmlformats.org/officeDocument/2006/relationships" r:embed="rId3"/>
        <a:stretch>
          <a:fillRect/>
        </a:stretch>
      </xdr:blipFill>
      <xdr:spPr>
        <a:xfrm>
          <a:off x="16597037" y="21012429"/>
          <a:ext cx="5762716" cy="4207710"/>
        </a:xfrm>
        <a:prstGeom prst="rect">
          <a:avLst/>
        </a:prstGeom>
      </xdr:spPr>
    </xdr:pic>
    <xdr:clientData/>
  </xdr:twoCellAnchor>
  <xdr:twoCellAnchor>
    <xdr:from>
      <xdr:col>7</xdr:col>
      <xdr:colOff>939800</xdr:colOff>
      <xdr:row>67</xdr:row>
      <xdr:rowOff>217315</xdr:rowOff>
    </xdr:from>
    <xdr:to>
      <xdr:col>12</xdr:col>
      <xdr:colOff>730827</xdr:colOff>
      <xdr:row>67</xdr:row>
      <xdr:rowOff>236365</xdr:rowOff>
    </xdr:to>
    <xdr:cxnSp macro="">
      <xdr:nvCxnSpPr>
        <xdr:cNvPr id="57" name="直線矢印コネクタ 56">
          <a:extLst>
            <a:ext uri="{FF2B5EF4-FFF2-40B4-BE49-F238E27FC236}">
              <a16:creationId xmlns:a16="http://schemas.microsoft.com/office/drawing/2014/main" id="{EA3B668F-FDA4-45C6-895A-EFF0A2E2F955}"/>
            </a:ext>
          </a:extLst>
        </xdr:cNvPr>
        <xdr:cNvCxnSpPr/>
      </xdr:nvCxnSpPr>
      <xdr:spPr>
        <a:xfrm flipH="1" flipV="1">
          <a:off x="11734800" y="20880215"/>
          <a:ext cx="5760027" cy="19050"/>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939800</xdr:colOff>
      <xdr:row>67</xdr:row>
      <xdr:rowOff>274465</xdr:rowOff>
    </xdr:from>
    <xdr:to>
      <xdr:col>12</xdr:col>
      <xdr:colOff>680027</xdr:colOff>
      <xdr:row>68</xdr:row>
      <xdr:rowOff>278602</xdr:rowOff>
    </xdr:to>
    <xdr:cxnSp macro="">
      <xdr:nvCxnSpPr>
        <xdr:cNvPr id="58" name="直線矢印コネクタ 57">
          <a:extLst>
            <a:ext uri="{FF2B5EF4-FFF2-40B4-BE49-F238E27FC236}">
              <a16:creationId xmlns:a16="http://schemas.microsoft.com/office/drawing/2014/main" id="{A604D975-8D07-4A4B-8117-6C94B4774260}"/>
            </a:ext>
          </a:extLst>
        </xdr:cNvPr>
        <xdr:cNvCxnSpPr/>
      </xdr:nvCxnSpPr>
      <xdr:spPr>
        <a:xfrm flipH="1">
          <a:off x="11734800" y="20937365"/>
          <a:ext cx="5709227" cy="461337"/>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1384300</xdr:colOff>
      <xdr:row>87</xdr:row>
      <xdr:rowOff>16769</xdr:rowOff>
    </xdr:from>
    <xdr:to>
      <xdr:col>4</xdr:col>
      <xdr:colOff>5448323</xdr:colOff>
      <xdr:row>89</xdr:row>
      <xdr:rowOff>308089</xdr:rowOff>
    </xdr:to>
    <xdr:sp macro="" textlink="">
      <xdr:nvSpPr>
        <xdr:cNvPr id="59" name="吹き出し: 角を丸めた四角形 58">
          <a:extLst>
            <a:ext uri="{FF2B5EF4-FFF2-40B4-BE49-F238E27FC236}">
              <a16:creationId xmlns:a16="http://schemas.microsoft.com/office/drawing/2014/main" id="{8F66FD76-FFAD-4690-BCD6-21836B8E727D}"/>
            </a:ext>
          </a:extLst>
        </xdr:cNvPr>
        <xdr:cNvSpPr/>
      </xdr:nvSpPr>
      <xdr:spPr>
        <a:xfrm>
          <a:off x="2806700" y="27918669"/>
          <a:ext cx="4064023" cy="1027920"/>
        </a:xfrm>
        <a:prstGeom prst="wedgeRoundRectCallout">
          <a:avLst>
            <a:gd name="adj1" fmla="val -58511"/>
            <a:gd name="adj2" fmla="val 3548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補助事業に係る個別の販管費の数値が手元にない場合は、全社の販管費を案分することで計算し、営業利益を計算してください。</a:t>
          </a:r>
        </a:p>
      </xdr:txBody>
    </xdr:sp>
    <xdr:clientData/>
  </xdr:twoCellAnchor>
  <xdr:twoCellAnchor>
    <xdr:from>
      <xdr:col>7</xdr:col>
      <xdr:colOff>12579</xdr:colOff>
      <xdr:row>74</xdr:row>
      <xdr:rowOff>139700</xdr:rowOff>
    </xdr:from>
    <xdr:to>
      <xdr:col>10</xdr:col>
      <xdr:colOff>34065</xdr:colOff>
      <xdr:row>75</xdr:row>
      <xdr:rowOff>307927</xdr:rowOff>
    </xdr:to>
    <xdr:sp macro="" textlink="">
      <xdr:nvSpPr>
        <xdr:cNvPr id="61" name="吹き出し: 角を丸めた四角形 60">
          <a:extLst>
            <a:ext uri="{FF2B5EF4-FFF2-40B4-BE49-F238E27FC236}">
              <a16:creationId xmlns:a16="http://schemas.microsoft.com/office/drawing/2014/main" id="{82CD4C8C-9DDA-4A0B-8AC6-35B6044A8F43}"/>
            </a:ext>
          </a:extLst>
        </xdr:cNvPr>
        <xdr:cNvSpPr/>
      </xdr:nvSpPr>
      <xdr:spPr>
        <a:xfrm>
          <a:off x="10807579" y="24003000"/>
          <a:ext cx="3602886" cy="625427"/>
        </a:xfrm>
        <a:prstGeom prst="wedgeRoundRectCallout">
          <a:avLst>
            <a:gd name="adj1" fmla="val -54894"/>
            <a:gd name="adj2" fmla="val 4182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6</xdr:col>
      <xdr:colOff>1188690</xdr:colOff>
      <xdr:row>75</xdr:row>
      <xdr:rowOff>364576</xdr:rowOff>
    </xdr:from>
    <xdr:to>
      <xdr:col>10</xdr:col>
      <xdr:colOff>6851</xdr:colOff>
      <xdr:row>77</xdr:row>
      <xdr:rowOff>238313</xdr:rowOff>
    </xdr:to>
    <xdr:sp macro="" textlink="">
      <xdr:nvSpPr>
        <xdr:cNvPr id="62" name="吹き出し: 角を丸めた四角形 61">
          <a:extLst>
            <a:ext uri="{FF2B5EF4-FFF2-40B4-BE49-F238E27FC236}">
              <a16:creationId xmlns:a16="http://schemas.microsoft.com/office/drawing/2014/main" id="{8CA6D945-AB61-4569-8D78-35A592934561}"/>
            </a:ext>
          </a:extLst>
        </xdr:cNvPr>
        <xdr:cNvSpPr/>
      </xdr:nvSpPr>
      <xdr:spPr>
        <a:xfrm>
          <a:off x="10789890" y="24685076"/>
          <a:ext cx="3593361" cy="610337"/>
        </a:xfrm>
        <a:prstGeom prst="wedgeRoundRectCallout">
          <a:avLst>
            <a:gd name="adj1" fmla="val -54894"/>
            <a:gd name="adj2" fmla="val -2013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中分類の選択に応じて、選択肢がリストされます。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6</xdr:col>
      <xdr:colOff>301422</xdr:colOff>
      <xdr:row>78</xdr:row>
      <xdr:rowOff>172784</xdr:rowOff>
    </xdr:from>
    <xdr:to>
      <xdr:col>9</xdr:col>
      <xdr:colOff>351934</xdr:colOff>
      <xdr:row>82</xdr:row>
      <xdr:rowOff>10557</xdr:rowOff>
    </xdr:to>
    <xdr:sp macro="" textlink="">
      <xdr:nvSpPr>
        <xdr:cNvPr id="64" name="吹き出し: 角を丸めた四角形 63">
          <a:extLst>
            <a:ext uri="{FF2B5EF4-FFF2-40B4-BE49-F238E27FC236}">
              <a16:creationId xmlns:a16="http://schemas.microsoft.com/office/drawing/2014/main" id="{B7207152-B513-4220-A059-FA7DF5D51EFC}"/>
            </a:ext>
          </a:extLst>
        </xdr:cNvPr>
        <xdr:cNvSpPr/>
      </xdr:nvSpPr>
      <xdr:spPr>
        <a:xfrm>
          <a:off x="9902622" y="25598184"/>
          <a:ext cx="3631912" cy="1171273"/>
        </a:xfrm>
        <a:prstGeom prst="wedgeRoundRectCallout">
          <a:avLst>
            <a:gd name="adj1" fmla="val -34308"/>
            <a:gd name="adj2" fmla="val -5839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r>
            <a:rPr kumimoji="1" lang="ja-JP" altLang="ja-JP" sz="1200">
              <a:solidFill>
                <a:sysClr val="windowText" lastClr="000000"/>
              </a:solidFill>
              <a:effectLst/>
              <a:latin typeface="+mn-lt"/>
              <a:ea typeface="+mn-ea"/>
              <a:cs typeface="+mn-cs"/>
            </a:rPr>
            <a:t>大分類「</a:t>
          </a:r>
          <a:r>
            <a:rPr kumimoji="1" lang="en-US" altLang="ja-JP" sz="1200">
              <a:solidFill>
                <a:sysClr val="windowText" lastClr="000000"/>
              </a:solidFill>
              <a:effectLst/>
              <a:latin typeface="+mn-lt"/>
              <a:ea typeface="+mn-ea"/>
              <a:cs typeface="+mn-cs"/>
            </a:rPr>
            <a:t>T_</a:t>
          </a:r>
          <a:r>
            <a:rPr kumimoji="1" lang="ja-JP" altLang="ja-JP" sz="1200">
              <a:solidFill>
                <a:sysClr val="windowText" lastClr="000000"/>
              </a:solidFill>
              <a:effectLst/>
              <a:latin typeface="+mn-lt"/>
              <a:ea typeface="+mn-ea"/>
              <a:cs typeface="+mn-cs"/>
            </a:rPr>
            <a:t>分類不能」、小分類「”その他の”もしくは”他に分類されない”から始まる産業」を選択した場合は記載ください。</a:t>
          </a:r>
          <a:endParaRPr lang="ja-JP" altLang="ja-JP" sz="1200">
            <a:solidFill>
              <a:sysClr val="windowText" lastClr="000000"/>
            </a:solidFill>
            <a:effectLst/>
          </a:endParaRPr>
        </a:p>
      </xdr:txBody>
    </xdr:sp>
    <xdr:clientData/>
  </xdr:twoCellAnchor>
  <xdr:twoCellAnchor>
    <xdr:from>
      <xdr:col>4</xdr:col>
      <xdr:colOff>4755369</xdr:colOff>
      <xdr:row>93</xdr:row>
      <xdr:rowOff>88612</xdr:rowOff>
    </xdr:from>
    <xdr:to>
      <xdr:col>6</xdr:col>
      <xdr:colOff>635100</xdr:colOff>
      <xdr:row>96</xdr:row>
      <xdr:rowOff>237051</xdr:rowOff>
    </xdr:to>
    <xdr:sp macro="" textlink="">
      <xdr:nvSpPr>
        <xdr:cNvPr id="67" name="吹き出し: 角を丸めた四角形 66">
          <a:extLst>
            <a:ext uri="{FF2B5EF4-FFF2-40B4-BE49-F238E27FC236}">
              <a16:creationId xmlns:a16="http://schemas.microsoft.com/office/drawing/2014/main" id="{C27404BA-74D8-4A1C-B4D3-B97466EA8DE8}"/>
            </a:ext>
          </a:extLst>
        </xdr:cNvPr>
        <xdr:cNvSpPr/>
      </xdr:nvSpPr>
      <xdr:spPr>
        <a:xfrm>
          <a:off x="6177769" y="30200312"/>
          <a:ext cx="4058531" cy="1253339"/>
        </a:xfrm>
        <a:prstGeom prst="wedgeRoundRectCallout">
          <a:avLst>
            <a:gd name="adj1" fmla="val -58511"/>
            <a:gd name="adj2" fmla="val 35484"/>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雇用契約がある社員が会社法上の取締役を兼務するなどの場合であっても、従業員・役員どちらかに含めていただきますが、どちらに含めるかについては事業者様にてご判断いただいて構いません。</a:t>
          </a:r>
        </a:p>
      </xdr:txBody>
    </xdr:sp>
    <xdr:clientData/>
  </xdr:twoCellAnchor>
  <xdr:twoCellAnchor>
    <xdr:from>
      <xdr:col>6</xdr:col>
      <xdr:colOff>1117600</xdr:colOff>
      <xdr:row>101</xdr:row>
      <xdr:rowOff>41860</xdr:rowOff>
    </xdr:from>
    <xdr:to>
      <xdr:col>14</xdr:col>
      <xdr:colOff>262539</xdr:colOff>
      <xdr:row>101</xdr:row>
      <xdr:rowOff>333942</xdr:rowOff>
    </xdr:to>
    <xdr:sp macro="" textlink="">
      <xdr:nvSpPr>
        <xdr:cNvPr id="68" name="四角形: 角を丸くする 67">
          <a:extLst>
            <a:ext uri="{FF2B5EF4-FFF2-40B4-BE49-F238E27FC236}">
              <a16:creationId xmlns:a16="http://schemas.microsoft.com/office/drawing/2014/main" id="{E2314DE0-6004-4868-BC55-3B1CD9F8BF30}"/>
            </a:ext>
          </a:extLst>
        </xdr:cNvPr>
        <xdr:cNvSpPr/>
      </xdr:nvSpPr>
      <xdr:spPr>
        <a:xfrm>
          <a:off x="10718800" y="33099960"/>
          <a:ext cx="8695339" cy="292082"/>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7</xdr:col>
      <xdr:colOff>884671</xdr:colOff>
      <xdr:row>99</xdr:row>
      <xdr:rowOff>177800</xdr:rowOff>
    </xdr:from>
    <xdr:to>
      <xdr:col>8</xdr:col>
      <xdr:colOff>478541</xdr:colOff>
      <xdr:row>100</xdr:row>
      <xdr:rowOff>198553</xdr:rowOff>
    </xdr:to>
    <xdr:sp macro="" textlink="">
      <xdr:nvSpPr>
        <xdr:cNvPr id="69" name="吹き出し: 角を丸めた四角形 68">
          <a:extLst>
            <a:ext uri="{FF2B5EF4-FFF2-40B4-BE49-F238E27FC236}">
              <a16:creationId xmlns:a16="http://schemas.microsoft.com/office/drawing/2014/main" id="{F670A12D-0D4E-4E7F-B78B-86825DBCB258}"/>
            </a:ext>
          </a:extLst>
        </xdr:cNvPr>
        <xdr:cNvSpPr/>
      </xdr:nvSpPr>
      <xdr:spPr>
        <a:xfrm>
          <a:off x="11679671" y="32499300"/>
          <a:ext cx="787670" cy="389053"/>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ポイント</a:t>
          </a:r>
          <a:endParaRPr kumimoji="1" lang="en-US" altLang="ja-JP" sz="1200" b="1">
            <a:solidFill>
              <a:sysClr val="windowText" lastClr="000000"/>
            </a:solidFill>
            <a:latin typeface="+mn-ea"/>
            <a:ea typeface="+mn-ea"/>
          </a:endParaRPr>
        </a:p>
      </xdr:txBody>
    </xdr:sp>
    <xdr:clientData/>
  </xdr:twoCellAnchor>
  <xdr:twoCellAnchor>
    <xdr:from>
      <xdr:col>1</xdr:col>
      <xdr:colOff>253135</xdr:colOff>
      <xdr:row>123</xdr:row>
      <xdr:rowOff>229177</xdr:rowOff>
    </xdr:from>
    <xdr:to>
      <xdr:col>5</xdr:col>
      <xdr:colOff>1975000</xdr:colOff>
      <xdr:row>124</xdr:row>
      <xdr:rowOff>204354</xdr:rowOff>
    </xdr:to>
    <xdr:sp macro="" textlink="">
      <xdr:nvSpPr>
        <xdr:cNvPr id="70" name="四角形: 角を丸くする 69">
          <a:extLst>
            <a:ext uri="{FF2B5EF4-FFF2-40B4-BE49-F238E27FC236}">
              <a16:creationId xmlns:a16="http://schemas.microsoft.com/office/drawing/2014/main" id="{BEDF1CF7-B378-4209-B6D7-DE90E80E318A}"/>
            </a:ext>
          </a:extLst>
        </xdr:cNvPr>
        <xdr:cNvSpPr/>
      </xdr:nvSpPr>
      <xdr:spPr>
        <a:xfrm>
          <a:off x="684935" y="39408677"/>
          <a:ext cx="8503665" cy="229177"/>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1135999</xdr:colOff>
      <xdr:row>121</xdr:row>
      <xdr:rowOff>177800</xdr:rowOff>
    </xdr:from>
    <xdr:to>
      <xdr:col>4</xdr:col>
      <xdr:colOff>1843299</xdr:colOff>
      <xdr:row>123</xdr:row>
      <xdr:rowOff>53857</xdr:rowOff>
    </xdr:to>
    <xdr:sp macro="" textlink="">
      <xdr:nvSpPr>
        <xdr:cNvPr id="71" name="吹き出し: 角を丸めた四角形 70">
          <a:extLst>
            <a:ext uri="{FF2B5EF4-FFF2-40B4-BE49-F238E27FC236}">
              <a16:creationId xmlns:a16="http://schemas.microsoft.com/office/drawing/2014/main" id="{E9132286-1E05-455B-A002-DA2931E46E72}"/>
            </a:ext>
          </a:extLst>
        </xdr:cNvPr>
        <xdr:cNvSpPr/>
      </xdr:nvSpPr>
      <xdr:spPr>
        <a:xfrm>
          <a:off x="2558399" y="38900100"/>
          <a:ext cx="707300" cy="333257"/>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6</xdr:col>
      <xdr:colOff>1122055</xdr:colOff>
      <xdr:row>125</xdr:row>
      <xdr:rowOff>371105</xdr:rowOff>
    </xdr:from>
    <xdr:to>
      <xdr:col>9</xdr:col>
      <xdr:colOff>702016</xdr:colOff>
      <xdr:row>128</xdr:row>
      <xdr:rowOff>98073</xdr:rowOff>
    </xdr:to>
    <xdr:sp macro="" textlink="">
      <xdr:nvSpPr>
        <xdr:cNvPr id="72" name="四角形: 角を丸くする 71">
          <a:extLst>
            <a:ext uri="{FF2B5EF4-FFF2-40B4-BE49-F238E27FC236}">
              <a16:creationId xmlns:a16="http://schemas.microsoft.com/office/drawing/2014/main" id="{4BA572E4-C39E-4BC8-A0C1-A114CD7399F9}"/>
            </a:ext>
          </a:extLst>
        </xdr:cNvPr>
        <xdr:cNvSpPr/>
      </xdr:nvSpPr>
      <xdr:spPr>
        <a:xfrm>
          <a:off x="10723255" y="40033205"/>
          <a:ext cx="3161361" cy="869968"/>
        </a:xfrm>
        <a:prstGeom prst="roundRect">
          <a:avLst>
            <a:gd name="adj" fmla="val 0"/>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1,2,5,6,11</a:t>
          </a:r>
          <a:r>
            <a:rPr kumimoji="1" lang="ja-JP" altLang="en-US" sz="1200">
              <a:solidFill>
                <a:sysClr val="windowText" lastClr="000000"/>
              </a:solidFill>
              <a:latin typeface="+mn-ea"/>
              <a:ea typeface="+mn-ea"/>
            </a:rPr>
            <a:t>は、③経費明細書シートで入力した内容を基にチェックされます。</a:t>
          </a:r>
          <a:endParaRPr kumimoji="1" lang="en-US" altLang="ja-JP" sz="1200">
            <a:solidFill>
              <a:sysClr val="windowText" lastClr="000000"/>
            </a:solidFill>
            <a:latin typeface="+mn-ea"/>
            <a:ea typeface="+mn-ea"/>
          </a:endParaRPr>
        </a:p>
      </xdr:txBody>
    </xdr:sp>
    <xdr:clientData/>
  </xdr:twoCellAnchor>
  <xdr:twoCellAnchor>
    <xdr:from>
      <xdr:col>1</xdr:col>
      <xdr:colOff>241300</xdr:colOff>
      <xdr:row>140</xdr:row>
      <xdr:rowOff>26266</xdr:rowOff>
    </xdr:from>
    <xdr:to>
      <xdr:col>7</xdr:col>
      <xdr:colOff>167410</xdr:colOff>
      <xdr:row>141</xdr:row>
      <xdr:rowOff>4619</xdr:rowOff>
    </xdr:to>
    <xdr:sp macro="" textlink="">
      <xdr:nvSpPr>
        <xdr:cNvPr id="73" name="四角形: 角を丸くする 72">
          <a:extLst>
            <a:ext uri="{FF2B5EF4-FFF2-40B4-BE49-F238E27FC236}">
              <a16:creationId xmlns:a16="http://schemas.microsoft.com/office/drawing/2014/main" id="{75E2E84F-AA22-44A4-8211-9F7FC825F868}"/>
            </a:ext>
          </a:extLst>
        </xdr:cNvPr>
        <xdr:cNvSpPr/>
      </xdr:nvSpPr>
      <xdr:spPr>
        <a:xfrm>
          <a:off x="673100" y="45187466"/>
          <a:ext cx="10289310" cy="206953"/>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804355</xdr:colOff>
      <xdr:row>137</xdr:row>
      <xdr:rowOff>181264</xdr:rowOff>
    </xdr:from>
    <xdr:to>
      <xdr:col>4</xdr:col>
      <xdr:colOff>1518005</xdr:colOff>
      <xdr:row>139</xdr:row>
      <xdr:rowOff>89413</xdr:rowOff>
    </xdr:to>
    <xdr:sp macro="" textlink="">
      <xdr:nvSpPr>
        <xdr:cNvPr id="74" name="吹き出し: 角を丸めた四角形 73">
          <a:extLst>
            <a:ext uri="{FF2B5EF4-FFF2-40B4-BE49-F238E27FC236}">
              <a16:creationId xmlns:a16="http://schemas.microsoft.com/office/drawing/2014/main" id="{429859D6-43E0-4FE9-8F9A-D8110C58F483}"/>
            </a:ext>
          </a:extLst>
        </xdr:cNvPr>
        <xdr:cNvSpPr/>
      </xdr:nvSpPr>
      <xdr:spPr>
        <a:xfrm>
          <a:off x="2226755" y="44643964"/>
          <a:ext cx="713650" cy="352649"/>
        </a:xfrm>
        <a:prstGeom prst="wedgeRoundRectCallout">
          <a:avLst>
            <a:gd name="adj1" fmla="val -33632"/>
            <a:gd name="adj2" fmla="val 7324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7</xdr:col>
      <xdr:colOff>28657</xdr:colOff>
      <xdr:row>102</xdr:row>
      <xdr:rowOff>190500</xdr:rowOff>
    </xdr:from>
    <xdr:to>
      <xdr:col>10</xdr:col>
      <xdr:colOff>50143</xdr:colOff>
      <xdr:row>104</xdr:row>
      <xdr:rowOff>358727</xdr:rowOff>
    </xdr:to>
    <xdr:sp macro="" textlink="">
      <xdr:nvSpPr>
        <xdr:cNvPr id="76" name="吹き出し: 角を丸めた四角形 75">
          <a:extLst>
            <a:ext uri="{FF2B5EF4-FFF2-40B4-BE49-F238E27FC236}">
              <a16:creationId xmlns:a16="http://schemas.microsoft.com/office/drawing/2014/main" id="{4A602930-078F-48B4-9B00-344E8DC664ED}"/>
            </a:ext>
          </a:extLst>
        </xdr:cNvPr>
        <xdr:cNvSpPr/>
      </xdr:nvSpPr>
      <xdr:spPr>
        <a:xfrm>
          <a:off x="10823657" y="33616900"/>
          <a:ext cx="3602886" cy="625427"/>
        </a:xfrm>
        <a:prstGeom prst="wedgeRoundRectCallout">
          <a:avLst>
            <a:gd name="adj1" fmla="val -54894"/>
            <a:gd name="adj2" fmla="val 4182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7</xdr:col>
      <xdr:colOff>10968</xdr:colOff>
      <xdr:row>105</xdr:row>
      <xdr:rowOff>47076</xdr:rowOff>
    </xdr:from>
    <xdr:to>
      <xdr:col>10</xdr:col>
      <xdr:colOff>22929</xdr:colOff>
      <xdr:row>106</xdr:row>
      <xdr:rowOff>289113</xdr:rowOff>
    </xdr:to>
    <xdr:sp macro="" textlink="">
      <xdr:nvSpPr>
        <xdr:cNvPr id="77" name="吹き出し: 角を丸めた四角形 76">
          <a:extLst>
            <a:ext uri="{FF2B5EF4-FFF2-40B4-BE49-F238E27FC236}">
              <a16:creationId xmlns:a16="http://schemas.microsoft.com/office/drawing/2014/main" id="{4D8572A8-057C-49D0-9F44-9E62D2556F2A}"/>
            </a:ext>
          </a:extLst>
        </xdr:cNvPr>
        <xdr:cNvSpPr/>
      </xdr:nvSpPr>
      <xdr:spPr>
        <a:xfrm>
          <a:off x="10805968" y="34298976"/>
          <a:ext cx="3593361" cy="610337"/>
        </a:xfrm>
        <a:prstGeom prst="wedgeRoundRectCallout">
          <a:avLst>
            <a:gd name="adj1" fmla="val -54894"/>
            <a:gd name="adj2" fmla="val -20138"/>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中分類の選択に応じて、選択肢がリストされます。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6</xdr:col>
      <xdr:colOff>317500</xdr:colOff>
      <xdr:row>107</xdr:row>
      <xdr:rowOff>223584</xdr:rowOff>
    </xdr:from>
    <xdr:to>
      <xdr:col>9</xdr:col>
      <xdr:colOff>368012</xdr:colOff>
      <xdr:row>110</xdr:row>
      <xdr:rowOff>201057</xdr:rowOff>
    </xdr:to>
    <xdr:sp macro="" textlink="">
      <xdr:nvSpPr>
        <xdr:cNvPr id="78" name="吹き出し: 角を丸めた四角形 77">
          <a:extLst>
            <a:ext uri="{FF2B5EF4-FFF2-40B4-BE49-F238E27FC236}">
              <a16:creationId xmlns:a16="http://schemas.microsoft.com/office/drawing/2014/main" id="{E9B5C942-9A61-4B07-B810-FDAF24E92F98}"/>
            </a:ext>
          </a:extLst>
        </xdr:cNvPr>
        <xdr:cNvSpPr/>
      </xdr:nvSpPr>
      <xdr:spPr>
        <a:xfrm>
          <a:off x="9918700" y="35212084"/>
          <a:ext cx="3631912" cy="1171273"/>
        </a:xfrm>
        <a:prstGeom prst="wedgeRoundRectCallout">
          <a:avLst>
            <a:gd name="adj1" fmla="val -34308"/>
            <a:gd name="adj2" fmla="val -5839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r>
            <a:rPr kumimoji="1" lang="ja-JP" altLang="ja-JP" sz="1200">
              <a:solidFill>
                <a:sysClr val="windowText" lastClr="000000"/>
              </a:solidFill>
              <a:effectLst/>
              <a:latin typeface="+mn-lt"/>
              <a:ea typeface="+mn-ea"/>
              <a:cs typeface="+mn-cs"/>
            </a:rPr>
            <a:t>大分類「</a:t>
          </a:r>
          <a:r>
            <a:rPr kumimoji="1" lang="en-US" altLang="ja-JP" sz="1200">
              <a:solidFill>
                <a:sysClr val="windowText" lastClr="000000"/>
              </a:solidFill>
              <a:effectLst/>
              <a:latin typeface="+mn-lt"/>
              <a:ea typeface="+mn-ea"/>
              <a:cs typeface="+mn-cs"/>
            </a:rPr>
            <a:t>T_</a:t>
          </a:r>
          <a:r>
            <a:rPr kumimoji="1" lang="ja-JP" altLang="ja-JP" sz="1200">
              <a:solidFill>
                <a:sysClr val="windowText" lastClr="000000"/>
              </a:solidFill>
              <a:effectLst/>
              <a:latin typeface="+mn-lt"/>
              <a:ea typeface="+mn-ea"/>
              <a:cs typeface="+mn-cs"/>
            </a:rPr>
            <a:t>分類不能」、小分類「”その他の”もしくは”他に分類されない”から始まる産業」を選択した場合は記載ください。</a:t>
          </a:r>
          <a:endParaRPr lang="ja-JP" altLang="ja-JP" sz="1200">
            <a:solidFill>
              <a:sysClr val="windowText" lastClr="000000"/>
            </a:solidFill>
            <a:effectLst/>
          </a:endParaRPr>
        </a:p>
      </xdr:txBody>
    </xdr:sp>
    <xdr:clientData/>
  </xdr:twoCellAnchor>
  <xdr:twoCellAnchor>
    <xdr:from>
      <xdr:col>4</xdr:col>
      <xdr:colOff>2209800</xdr:colOff>
      <xdr:row>78</xdr:row>
      <xdr:rowOff>393700</xdr:rowOff>
    </xdr:from>
    <xdr:to>
      <xdr:col>5</xdr:col>
      <xdr:colOff>1028261</xdr:colOff>
      <xdr:row>83</xdr:row>
      <xdr:rowOff>4073</xdr:rowOff>
    </xdr:to>
    <xdr:sp macro="" textlink="">
      <xdr:nvSpPr>
        <xdr:cNvPr id="80" name="吹き出し: 角を丸めた四角形 79">
          <a:extLst>
            <a:ext uri="{FF2B5EF4-FFF2-40B4-BE49-F238E27FC236}">
              <a16:creationId xmlns:a16="http://schemas.microsoft.com/office/drawing/2014/main" id="{4E78060F-43B2-44E3-BDAD-9D7E1A45FB67}"/>
            </a:ext>
          </a:extLst>
        </xdr:cNvPr>
        <xdr:cNvSpPr/>
      </xdr:nvSpPr>
      <xdr:spPr>
        <a:xfrm>
          <a:off x="3632200" y="25819100"/>
          <a:ext cx="4609661" cy="1172473"/>
        </a:xfrm>
        <a:prstGeom prst="wedgeRoundRectCallout">
          <a:avLst>
            <a:gd name="adj1" fmla="val -55986"/>
            <a:gd name="adj2" fmla="val 3750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a:t>
          </a:r>
          <a:r>
            <a:rPr kumimoji="1" lang="ja-JP" altLang="en-US" sz="1200">
              <a:solidFill>
                <a:sysClr val="windowText" lastClr="000000"/>
              </a:solidFill>
              <a:latin typeface="+mn-ea"/>
              <a:ea typeface="+mn-ea"/>
            </a:rPr>
            <a:t>項は補助事業について入力してください。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83</a:t>
          </a:r>
          <a:r>
            <a:rPr kumimoji="1" lang="ja-JP" altLang="en-US" sz="1200">
              <a:solidFill>
                <a:sysClr val="windowText" lastClr="000000"/>
              </a:solidFill>
              <a:latin typeface="+mn-ea"/>
              <a:ea typeface="+mn-ea"/>
            </a:rPr>
            <a:t>行目以降＜補助事業にかかる財務数値＞にご記載頂く数値は、あくまで補助事業に関係する付加価値額、従業員・役員及びその給与総支給額で計算頂きます。</a:t>
          </a:r>
          <a:endParaRPr kumimoji="1" lang="en-US" altLang="ja-JP" sz="1200">
            <a:solidFill>
              <a:sysClr val="windowText" lastClr="000000"/>
            </a:solidFill>
            <a:latin typeface="+mn-ea"/>
            <a:ea typeface="+mn-ea"/>
          </a:endParaRPr>
        </a:p>
      </xdr:txBody>
    </xdr:sp>
    <xdr:clientData/>
  </xdr:twoCellAnchor>
  <xdr:twoCellAnchor>
    <xdr:from>
      <xdr:col>17</xdr:col>
      <xdr:colOff>781050</xdr:colOff>
      <xdr:row>12</xdr:row>
      <xdr:rowOff>133350</xdr:rowOff>
    </xdr:from>
    <xdr:to>
      <xdr:col>24</xdr:col>
      <xdr:colOff>457200</xdr:colOff>
      <xdr:row>21</xdr:row>
      <xdr:rowOff>228600</xdr:rowOff>
    </xdr:to>
    <xdr:sp macro="" textlink="">
      <xdr:nvSpPr>
        <xdr:cNvPr id="531" name="吹き出し: 角を丸めた四角形 31">
          <a:extLst>
            <a:ext uri="{FF2B5EF4-FFF2-40B4-BE49-F238E27FC236}">
              <a16:creationId xmlns:a16="http://schemas.microsoft.com/office/drawing/2014/main" id="{7B614233-778F-40C0-8755-479B5ABC7CC2}"/>
            </a:ext>
          </a:extLst>
        </xdr:cNvPr>
        <xdr:cNvSpPr/>
      </xdr:nvSpPr>
      <xdr:spPr>
        <a:xfrm>
          <a:off x="23469600" y="2590800"/>
          <a:ext cx="5886450" cy="3038475"/>
        </a:xfrm>
        <a:prstGeom prst="wedgeRoundRectCallout">
          <a:avLst>
            <a:gd name="adj1" fmla="val -59462"/>
            <a:gd name="adj2" fmla="val -5240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1">
              <a:solidFill>
                <a:sysClr val="windowText" lastClr="000000"/>
              </a:solidFill>
              <a:latin typeface="+mn-ea"/>
              <a:ea typeface="+mn-ea"/>
            </a:rPr>
            <a:t>記入にあたっての留意事項（決算月変更がある場合）</a:t>
          </a:r>
        </a:p>
        <a:p>
          <a:pPr algn="l"/>
          <a:r>
            <a:rPr kumimoji="1" lang="ja-JP" altLang="en-US" sz="1200">
              <a:solidFill>
                <a:sysClr val="windowText" lastClr="000000"/>
              </a:solidFill>
              <a:latin typeface="+mn-ea"/>
              <a:ea typeface="+mn-ea"/>
            </a:rPr>
            <a:t>以下のいずれかに該当する場合は、それぞれの内容に応じて記入をお願いします。</a:t>
          </a:r>
        </a:p>
        <a:p>
          <a:pPr algn="l"/>
          <a:r>
            <a:rPr lang="ja-JP" altLang="en-US" sz="1200">
              <a:solidFill>
                <a:sysClr val="windowText" lastClr="000000"/>
              </a:solidFill>
            </a:rPr>
            <a:t>① 最新決算期が</a:t>
          </a:r>
          <a:r>
            <a:rPr lang="en-US" altLang="ja-JP" sz="1200">
              <a:solidFill>
                <a:sysClr val="windowText" lastClr="000000"/>
              </a:solidFill>
            </a:rPr>
            <a:t>12</a:t>
          </a:r>
          <a:r>
            <a:rPr lang="ja-JP" altLang="en-US" sz="1200">
              <a:solidFill>
                <a:sysClr val="windowText" lastClr="000000"/>
              </a:solidFill>
            </a:rPr>
            <a:t>か月未満の場合</a:t>
          </a:r>
          <a:endParaRPr lang="en-US" altLang="ja-JP" sz="1200">
            <a:solidFill>
              <a:sysClr val="windowText" lastClr="000000"/>
            </a:solidFill>
          </a:endParaRPr>
        </a:p>
        <a:p>
          <a:pPr algn="l"/>
          <a:r>
            <a:rPr kumimoji="1" lang="ja-JP" altLang="en-US" sz="1200">
              <a:solidFill>
                <a:sysClr val="windowText" lastClr="000000"/>
              </a:solidFill>
              <a:latin typeface="+mn-ea"/>
              <a:ea typeface="+mn-ea"/>
            </a:rPr>
            <a:t>→ 最新決算期の数値を</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か月換算したうえで、過去</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期分は決算月変更前の決算資料の内容を入力してください。</a:t>
          </a:r>
          <a:endParaRPr kumimoji="1" lang="en-US" altLang="ja-JP" sz="1200">
            <a:solidFill>
              <a:sysClr val="windowText" lastClr="000000"/>
            </a:solidFill>
            <a:latin typeface="+mn-ea"/>
            <a:ea typeface="+mn-ea"/>
          </a:endParaRPr>
        </a:p>
        <a:p>
          <a:pPr algn="l"/>
          <a:endParaRPr kumimoji="1" lang="ja-JP" altLang="en-US"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 前期決算以前に決算月を変更した場合（最新決算期が</a:t>
          </a:r>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か月ある場合）</a:t>
          </a:r>
          <a:br>
            <a:rPr kumimoji="1" lang="ja-JP" altLang="en-US" sz="1200">
              <a:solidFill>
                <a:sysClr val="windowText" lastClr="000000"/>
              </a:solidFill>
              <a:latin typeface="+mn-ea"/>
              <a:ea typeface="+mn-ea"/>
            </a:rPr>
          </a:br>
          <a:r>
            <a:rPr kumimoji="1" lang="ja-JP" altLang="en-US" sz="1200">
              <a:solidFill>
                <a:sysClr val="windowText" lastClr="000000"/>
              </a:solidFill>
              <a:latin typeface="+mn-ea"/>
              <a:ea typeface="+mn-ea"/>
            </a:rPr>
            <a:t>→ 最新決算月に統一した形で、過去２期分についても決算月をそろえて入力をしてください。</a:t>
          </a:r>
        </a:p>
      </xdr:txBody>
    </xdr:sp>
    <xdr:clientData/>
  </xdr:twoCellAnchor>
  <xdr:twoCellAnchor>
    <xdr:from>
      <xdr:col>3</xdr:col>
      <xdr:colOff>47988</xdr:colOff>
      <xdr:row>16</xdr:row>
      <xdr:rowOff>2158</xdr:rowOff>
    </xdr:from>
    <xdr:to>
      <xdr:col>4</xdr:col>
      <xdr:colOff>2878413</xdr:colOff>
      <xdr:row>18</xdr:row>
      <xdr:rowOff>323849</xdr:rowOff>
    </xdr:to>
    <xdr:sp macro="" textlink="">
      <xdr:nvSpPr>
        <xdr:cNvPr id="60" name="吹き出し: 角を丸めた四角形 59">
          <a:extLst>
            <a:ext uri="{FF2B5EF4-FFF2-40B4-BE49-F238E27FC236}">
              <a16:creationId xmlns:a16="http://schemas.microsoft.com/office/drawing/2014/main" id="{A4771111-0DFF-1DEC-8CD2-E6CCB823F3C4}"/>
            </a:ext>
          </a:extLst>
        </xdr:cNvPr>
        <xdr:cNvSpPr/>
      </xdr:nvSpPr>
      <xdr:spPr>
        <a:xfrm>
          <a:off x="1048113" y="3545458"/>
          <a:ext cx="3240000" cy="1064641"/>
        </a:xfrm>
        <a:prstGeom prst="wedgeRoundRectCallout">
          <a:avLst>
            <a:gd name="adj1" fmla="val -53811"/>
            <a:gd name="adj2" fmla="val -12757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確定した決算数値が</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期もない事業者のみ「適用する」を選択し、それ以外の場合は「適用しない」を選択してください。</a:t>
          </a:r>
          <a:endParaRPr kumimoji="1" lang="en-US" altLang="ja-JP" sz="12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16323" y="545167"/>
          <a:ext cx="2601219" cy="199191"/>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2431676</xdr:colOff>
      <xdr:row>7</xdr:row>
      <xdr:rowOff>201706</xdr:rowOff>
    </xdr:from>
    <xdr:to>
      <xdr:col>9</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5909551" y="1649506"/>
          <a:ext cx="4029759" cy="416312"/>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9</xdr:col>
      <xdr:colOff>5042647</xdr:colOff>
      <xdr:row>0</xdr:row>
      <xdr:rowOff>11206</xdr:rowOff>
    </xdr:from>
    <xdr:to>
      <xdr:col>10</xdr:col>
      <xdr:colOff>5647</xdr:colOff>
      <xdr:row>2</xdr:row>
      <xdr:rowOff>163059</xdr:rowOff>
    </xdr:to>
    <xdr:sp macro="" textlink="">
      <xdr:nvSpPr>
        <xdr:cNvPr id="4" name="正方形/長方形 1">
          <a:extLst>
            <a:ext uri="{FF2B5EF4-FFF2-40B4-BE49-F238E27FC236}">
              <a16:creationId xmlns:a16="http://schemas.microsoft.com/office/drawing/2014/main" id="{953B77F2-F86F-4403-BBE8-2A540FEAD4F2}"/>
            </a:ext>
          </a:extLst>
        </xdr:cNvPr>
        <xdr:cNvSpPr/>
      </xdr:nvSpPr>
      <xdr:spPr>
        <a:xfrm flipH="1">
          <a:off x="16562294" y="11206"/>
          <a:ext cx="1440000" cy="432000"/>
        </a:xfrm>
        <a:prstGeom prst="rect">
          <a:avLst/>
        </a:prstGeom>
        <a:solidFill>
          <a:srgbClr val="002060"/>
        </a:solidFill>
        <a:ln w="9525" cap="rnd" cmpd="sng" algn="ctr">
          <a:no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0" rIns="72000" bIns="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indent="0" algn="ctr" defTabSz="742950" rtl="0" eaLnBrk="1" latinLnBrk="0" hangingPunct="1"/>
          <a:r>
            <a:rPr kumimoji="1" lang="en-US" altLang="ja-JP" sz="1800" kern="1200">
              <a:solidFill>
                <a:schemeClr val="bg1"/>
              </a:solidFill>
              <a:latin typeface="Meiryo UI" panose="020B0604030504040204" pitchFamily="50" charset="-128"/>
              <a:ea typeface="Meiryo UI" panose="020B0604030504040204" pitchFamily="50" charset="-128"/>
              <a:cs typeface="+mn-cs"/>
            </a:rPr>
            <a:t>4</a:t>
          </a:r>
          <a:r>
            <a:rPr kumimoji="1" lang="ja-JP" altLang="en-US" sz="1800" kern="1200">
              <a:solidFill>
                <a:schemeClr val="bg1"/>
              </a:solidFill>
              <a:latin typeface="Meiryo UI" panose="020B0604030504040204" pitchFamily="50" charset="-128"/>
              <a:ea typeface="Meiryo UI" panose="020B0604030504040204" pitchFamily="50" charset="-128"/>
              <a:cs typeface="+mn-cs"/>
            </a:rPr>
            <a:t>次公募用</a:t>
          </a:r>
          <a:endParaRPr kumimoji="1" lang="en-US" altLang="ja-JP" sz="1800" kern="1200">
            <a:solidFill>
              <a:schemeClr val="bg1"/>
            </a:solidFill>
            <a:latin typeface="Meiryo UI" panose="020B0604030504040204" pitchFamily="50" charset="-128"/>
            <a:ea typeface="Meiryo UI" panose="020B0604030504040204" pitchFamily="50" charset="-128"/>
            <a:cs typeface="+mn-cs"/>
          </a:endParaRPr>
        </a:p>
      </xdr:txBody>
    </xdr:sp>
    <xdr:clientData/>
  </xdr:twoCellAnchor>
  <xdr:twoCellAnchor>
    <xdr:from>
      <xdr:col>1</xdr:col>
      <xdr:colOff>269875</xdr:colOff>
      <xdr:row>3</xdr:row>
      <xdr:rowOff>203415</xdr:rowOff>
    </xdr:from>
    <xdr:to>
      <xdr:col>8</xdr:col>
      <xdr:colOff>1115624</xdr:colOff>
      <xdr:row>9</xdr:row>
      <xdr:rowOff>221274</xdr:rowOff>
    </xdr:to>
    <xdr:sp macro="" textlink="">
      <xdr:nvSpPr>
        <xdr:cNvPr id="52" name="四角形: 角を丸くする 51">
          <a:extLst>
            <a:ext uri="{FF2B5EF4-FFF2-40B4-BE49-F238E27FC236}">
              <a16:creationId xmlns:a16="http://schemas.microsoft.com/office/drawing/2014/main" id="{B25A5026-0216-4CA5-922F-A854A1065C7B}"/>
            </a:ext>
          </a:extLst>
        </xdr:cNvPr>
        <xdr:cNvSpPr/>
      </xdr:nvSpPr>
      <xdr:spPr>
        <a:xfrm>
          <a:off x="555625" y="774915"/>
          <a:ext cx="12212249" cy="1335484"/>
        </a:xfrm>
        <a:prstGeom prst="roundRect">
          <a:avLst>
            <a:gd name="adj" fmla="val 10898"/>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3</xdr:col>
      <xdr:colOff>1182521</xdr:colOff>
      <xdr:row>2</xdr:row>
      <xdr:rowOff>7101</xdr:rowOff>
    </xdr:from>
    <xdr:to>
      <xdr:col>4</xdr:col>
      <xdr:colOff>404946</xdr:colOff>
      <xdr:row>3</xdr:row>
      <xdr:rowOff>80672</xdr:rowOff>
    </xdr:to>
    <xdr:sp macro="" textlink="">
      <xdr:nvSpPr>
        <xdr:cNvPr id="53" name="吹き出し: 角を丸めた四角形 52">
          <a:extLst>
            <a:ext uri="{FF2B5EF4-FFF2-40B4-BE49-F238E27FC236}">
              <a16:creationId xmlns:a16="http://schemas.microsoft.com/office/drawing/2014/main" id="{865A17CB-FDED-4217-8107-78016761C6B6}"/>
            </a:ext>
          </a:extLst>
        </xdr:cNvPr>
        <xdr:cNvSpPr/>
      </xdr:nvSpPr>
      <xdr:spPr>
        <a:xfrm>
          <a:off x="3182771" y="292851"/>
          <a:ext cx="651175" cy="359321"/>
        </a:xfrm>
        <a:prstGeom prst="wedgeRoundRectCallout">
          <a:avLst>
            <a:gd name="adj1" fmla="val -17809"/>
            <a:gd name="adj2" fmla="val 8396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2</xdr:col>
      <xdr:colOff>505411</xdr:colOff>
      <xdr:row>11</xdr:row>
      <xdr:rowOff>26379</xdr:rowOff>
    </xdr:from>
    <xdr:to>
      <xdr:col>3</xdr:col>
      <xdr:colOff>932544</xdr:colOff>
      <xdr:row>13</xdr:row>
      <xdr:rowOff>360127</xdr:rowOff>
    </xdr:to>
    <xdr:sp macro="" textlink="">
      <xdr:nvSpPr>
        <xdr:cNvPr id="54" name="吹き出し: 角を丸めた四角形 53">
          <a:extLst>
            <a:ext uri="{FF2B5EF4-FFF2-40B4-BE49-F238E27FC236}">
              <a16:creationId xmlns:a16="http://schemas.microsoft.com/office/drawing/2014/main" id="{0896963A-315E-4833-9641-7EAE8D9C9DC3}"/>
            </a:ext>
          </a:extLst>
        </xdr:cNvPr>
        <xdr:cNvSpPr/>
      </xdr:nvSpPr>
      <xdr:spPr>
        <a:xfrm>
          <a:off x="1088117" y="2368408"/>
          <a:ext cx="1861486" cy="815601"/>
        </a:xfrm>
        <a:prstGeom prst="wedgeRoundRectCallout">
          <a:avLst>
            <a:gd name="adj1" fmla="val 80644"/>
            <a:gd name="adj2" fmla="val 7103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a:p>
          <a:pPr algn="l"/>
          <a:r>
            <a:rPr kumimoji="1" lang="ja-JP" altLang="en-US" sz="1200">
              <a:solidFill>
                <a:sysClr val="windowText" lastClr="000000"/>
              </a:solidFill>
              <a:latin typeface="+mn-ea"/>
              <a:ea typeface="+mn-ea"/>
            </a:rPr>
            <a:t>年毎に事業期間の開始・終了月が異なります。</a:t>
          </a:r>
          <a:endParaRPr kumimoji="1" lang="en-US" altLang="ja-JP" sz="1200">
            <a:solidFill>
              <a:sysClr val="windowText" lastClr="000000"/>
            </a:solidFill>
            <a:latin typeface="+mn-ea"/>
            <a:ea typeface="+mn-ea"/>
          </a:endParaRPr>
        </a:p>
      </xdr:txBody>
    </xdr:sp>
    <xdr:clientData/>
  </xdr:twoCellAnchor>
  <xdr:twoCellAnchor>
    <xdr:from>
      <xdr:col>5</xdr:col>
      <xdr:colOff>69396</xdr:colOff>
      <xdr:row>14</xdr:row>
      <xdr:rowOff>169571</xdr:rowOff>
    </xdr:from>
    <xdr:to>
      <xdr:col>5</xdr:col>
      <xdr:colOff>1512571</xdr:colOff>
      <xdr:row>16</xdr:row>
      <xdr:rowOff>13591</xdr:rowOff>
    </xdr:to>
    <xdr:sp macro="" textlink="">
      <xdr:nvSpPr>
        <xdr:cNvPr id="55" name="吹き出し: 角を丸めた四角形 54">
          <a:extLst>
            <a:ext uri="{FF2B5EF4-FFF2-40B4-BE49-F238E27FC236}">
              <a16:creationId xmlns:a16="http://schemas.microsoft.com/office/drawing/2014/main" id="{4618C900-2674-4A71-83FF-5AA0199E16BD}"/>
            </a:ext>
          </a:extLst>
        </xdr:cNvPr>
        <xdr:cNvSpPr/>
      </xdr:nvSpPr>
      <xdr:spPr>
        <a:xfrm>
          <a:off x="6340021" y="3439821"/>
          <a:ext cx="1443175" cy="574270"/>
        </a:xfrm>
        <a:prstGeom prst="wedgeRoundRectCallout">
          <a:avLst>
            <a:gd name="adj1" fmla="val -6826"/>
            <a:gd name="adj2" fmla="val -74703"/>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補助対象外の経費も含まれます。</a:t>
          </a:r>
          <a:endParaRPr kumimoji="1" lang="en-US" altLang="ja-JP" sz="1200">
            <a:solidFill>
              <a:sysClr val="windowText" lastClr="000000"/>
            </a:solidFill>
            <a:latin typeface="+mn-ea"/>
            <a:ea typeface="+mn-ea"/>
          </a:endParaRPr>
        </a:p>
      </xdr:txBody>
    </xdr:sp>
    <xdr:clientData/>
  </xdr:twoCellAnchor>
  <xdr:twoCellAnchor>
    <xdr:from>
      <xdr:col>9</xdr:col>
      <xdr:colOff>251509</xdr:colOff>
      <xdr:row>14</xdr:row>
      <xdr:rowOff>169571</xdr:rowOff>
    </xdr:from>
    <xdr:to>
      <xdr:col>9</xdr:col>
      <xdr:colOff>3497859</xdr:colOff>
      <xdr:row>16</xdr:row>
      <xdr:rowOff>13591</xdr:rowOff>
    </xdr:to>
    <xdr:sp macro="" textlink="">
      <xdr:nvSpPr>
        <xdr:cNvPr id="56" name="吹き出し: 角を丸めた四角形 55">
          <a:extLst>
            <a:ext uri="{FF2B5EF4-FFF2-40B4-BE49-F238E27FC236}">
              <a16:creationId xmlns:a16="http://schemas.microsoft.com/office/drawing/2014/main" id="{AE97F0D7-DE97-4C21-BFE9-1D3C6BF2F505}"/>
            </a:ext>
          </a:extLst>
        </xdr:cNvPr>
        <xdr:cNvSpPr/>
      </xdr:nvSpPr>
      <xdr:spPr>
        <a:xfrm>
          <a:off x="13697634" y="3439821"/>
          <a:ext cx="3246350" cy="574270"/>
        </a:xfrm>
        <a:prstGeom prst="wedgeRoundRectCallout">
          <a:avLst>
            <a:gd name="adj1" fmla="val -32680"/>
            <a:gd name="adj2" fmla="val -69742"/>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1,000</a:t>
          </a:r>
          <a:r>
            <a:rPr kumimoji="1" lang="ja-JP" altLang="en-US" sz="1200">
              <a:solidFill>
                <a:sysClr val="windowText" lastClr="000000"/>
              </a:solidFill>
              <a:latin typeface="+mn-ea"/>
              <a:ea typeface="+mn-ea"/>
            </a:rPr>
            <a:t>万円以上若しくは下限を</a:t>
          </a:r>
          <a:r>
            <a:rPr kumimoji="1" lang="en-US" altLang="ja-JP" sz="1200">
              <a:solidFill>
                <a:sysClr val="windowText" lastClr="000000"/>
              </a:solidFill>
              <a:latin typeface="+mn-ea"/>
              <a:ea typeface="+mn-ea"/>
            </a:rPr>
            <a:t>100</a:t>
          </a:r>
          <a:r>
            <a:rPr kumimoji="1" lang="ja-JP" altLang="en-US" sz="1200">
              <a:solidFill>
                <a:sysClr val="windowText" lastClr="000000"/>
              </a:solidFill>
              <a:latin typeface="+mn-ea"/>
              <a:ea typeface="+mn-ea"/>
            </a:rPr>
            <a:t>万円として上位</a:t>
          </a:r>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品目程度を入力してください。</a:t>
          </a:r>
          <a:endParaRPr kumimoji="1" lang="en-US" altLang="ja-JP" sz="1200">
            <a:solidFill>
              <a:sysClr val="windowText" lastClr="000000"/>
            </a:solidFill>
            <a:latin typeface="+mn-ea"/>
            <a:ea typeface="+mn-ea"/>
          </a:endParaRPr>
        </a:p>
      </xdr:txBody>
    </xdr:sp>
    <xdr:clientData/>
  </xdr:twoCellAnchor>
  <xdr:twoCellAnchor>
    <xdr:from>
      <xdr:col>5</xdr:col>
      <xdr:colOff>982643</xdr:colOff>
      <xdr:row>17</xdr:row>
      <xdr:rowOff>140152</xdr:rowOff>
    </xdr:from>
    <xdr:to>
      <xdr:col>8</xdr:col>
      <xdr:colOff>530679</xdr:colOff>
      <xdr:row>19</xdr:row>
      <xdr:rowOff>275318</xdr:rowOff>
    </xdr:to>
    <xdr:sp macro="" textlink="">
      <xdr:nvSpPr>
        <xdr:cNvPr id="57" name="吹き出し: 角を丸めた四角形 56">
          <a:extLst>
            <a:ext uri="{FF2B5EF4-FFF2-40B4-BE49-F238E27FC236}">
              <a16:creationId xmlns:a16="http://schemas.microsoft.com/office/drawing/2014/main" id="{F57E032C-5A63-4F52-91EA-77311424DA2E}"/>
            </a:ext>
          </a:extLst>
        </xdr:cNvPr>
        <xdr:cNvSpPr/>
      </xdr:nvSpPr>
      <xdr:spPr>
        <a:xfrm>
          <a:off x="7255536" y="4576081"/>
          <a:ext cx="4936464" cy="869951"/>
        </a:xfrm>
        <a:prstGeom prst="wedgeRoundRectCallout">
          <a:avLst>
            <a:gd name="adj1" fmla="val 30809"/>
            <a:gd name="adj2" fmla="val -109736"/>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令和</a:t>
          </a:r>
          <a:r>
            <a:rPr kumimoji="1" lang="en-US" altLang="ja-JP" sz="1200">
              <a:solidFill>
                <a:sysClr val="windowText" lastClr="000000"/>
              </a:solidFill>
              <a:latin typeface="+mn-ea"/>
              <a:ea typeface="+mn-ea"/>
            </a:rPr>
            <a:t>7</a:t>
          </a:r>
          <a:r>
            <a:rPr kumimoji="1" lang="ja-JP" altLang="en-US" sz="1200">
              <a:solidFill>
                <a:sysClr val="windowText" lastClr="000000"/>
              </a:solidFill>
              <a:latin typeface="+mn-ea"/>
              <a:ea typeface="+mn-ea"/>
            </a:rPr>
            <a:t>年度に実施した補助事業のうち、令和</a:t>
          </a:r>
          <a:r>
            <a:rPr kumimoji="1" lang="en-US" altLang="ja-JP" sz="1200">
              <a:solidFill>
                <a:sysClr val="windowText" lastClr="000000"/>
              </a:solidFill>
              <a:latin typeface="+mn-ea"/>
              <a:ea typeface="+mn-ea"/>
            </a:rPr>
            <a:t>7</a:t>
          </a:r>
          <a:r>
            <a:rPr kumimoji="1" lang="ja-JP" altLang="en-US" sz="1200">
              <a:solidFill>
                <a:sysClr val="windowText" lastClr="000000"/>
              </a:solidFill>
              <a:latin typeface="+mn-ea"/>
              <a:ea typeface="+mn-ea"/>
            </a:rPr>
            <a:t>年度中に支出した補助対象経費の補助金交付時期は、原則、令和</a:t>
          </a:r>
          <a:r>
            <a:rPr kumimoji="1" lang="en-US" altLang="ja-JP" sz="1200">
              <a:solidFill>
                <a:sysClr val="windowText" lastClr="000000"/>
              </a:solidFill>
              <a:latin typeface="+mn-ea"/>
              <a:ea typeface="+mn-ea"/>
            </a:rPr>
            <a:t>8</a:t>
          </a:r>
          <a:r>
            <a:rPr kumimoji="1" lang="ja-JP" altLang="en-US" sz="1200">
              <a:solidFill>
                <a:sysClr val="windowText" lastClr="000000"/>
              </a:solidFill>
              <a:latin typeface="+mn-ea"/>
              <a:ea typeface="+mn-ea"/>
            </a:rPr>
            <a:t>年度となるため、補助事業</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年目の欄に、補助事業</a:t>
          </a:r>
          <a:r>
            <a:rPr kumimoji="1" lang="en-US" altLang="ja-JP" sz="1200">
              <a:solidFill>
                <a:sysClr val="windowText" lastClr="000000"/>
              </a:solidFill>
              <a:latin typeface="+mn-ea"/>
              <a:ea typeface="+mn-ea"/>
            </a:rPr>
            <a:t>1</a:t>
          </a:r>
          <a:r>
            <a:rPr kumimoji="1" lang="ja-JP" altLang="en-US" sz="1200">
              <a:solidFill>
                <a:sysClr val="windowText" lastClr="000000"/>
              </a:solidFill>
              <a:latin typeface="+mn-ea"/>
              <a:ea typeface="+mn-ea"/>
            </a:rPr>
            <a:t>年目と</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年目の合計金額が表示されます</a:t>
          </a:r>
        </a:p>
      </xdr:txBody>
    </xdr:sp>
    <xdr:clientData/>
  </xdr:twoCellAnchor>
  <xdr:twoCellAnchor>
    <xdr:from>
      <xdr:col>9</xdr:col>
      <xdr:colOff>1395743</xdr:colOff>
      <xdr:row>10</xdr:row>
      <xdr:rowOff>76457</xdr:rowOff>
    </xdr:from>
    <xdr:to>
      <xdr:col>9</xdr:col>
      <xdr:colOff>3116502</xdr:colOff>
      <xdr:row>13</xdr:row>
      <xdr:rowOff>131050</xdr:rowOff>
    </xdr:to>
    <xdr:sp macro="" textlink="">
      <xdr:nvSpPr>
        <xdr:cNvPr id="58" name="吹き出し: 角を丸めた四角形 57">
          <a:extLst>
            <a:ext uri="{FF2B5EF4-FFF2-40B4-BE49-F238E27FC236}">
              <a16:creationId xmlns:a16="http://schemas.microsoft.com/office/drawing/2014/main" id="{4F8FC7B4-8A40-445C-A010-3FB00D068C1D}"/>
            </a:ext>
          </a:extLst>
        </xdr:cNvPr>
        <xdr:cNvSpPr/>
      </xdr:nvSpPr>
      <xdr:spPr>
        <a:xfrm>
          <a:off x="14841868" y="2187832"/>
          <a:ext cx="1720759" cy="753093"/>
        </a:xfrm>
        <a:prstGeom prst="wedgeRoundRectCallout">
          <a:avLst>
            <a:gd name="adj1" fmla="val -134399"/>
            <a:gd name="adj2" fmla="val 2071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5</xdr:col>
      <xdr:colOff>355146</xdr:colOff>
      <xdr:row>20</xdr:row>
      <xdr:rowOff>66476</xdr:rowOff>
    </xdr:from>
    <xdr:to>
      <xdr:col>9</xdr:col>
      <xdr:colOff>2092737</xdr:colOff>
      <xdr:row>32</xdr:row>
      <xdr:rowOff>240127</xdr:rowOff>
    </xdr:to>
    <xdr:sp macro="" textlink="">
      <xdr:nvSpPr>
        <xdr:cNvPr id="59" name="四角形: 角を丸くする 58">
          <a:extLst>
            <a:ext uri="{FF2B5EF4-FFF2-40B4-BE49-F238E27FC236}">
              <a16:creationId xmlns:a16="http://schemas.microsoft.com/office/drawing/2014/main" id="{77958E5A-B3A7-42FA-9C39-A38BDFB2FD62}"/>
            </a:ext>
          </a:extLst>
        </xdr:cNvPr>
        <xdr:cNvSpPr/>
      </xdr:nvSpPr>
      <xdr:spPr>
        <a:xfrm>
          <a:off x="6625771" y="5527476"/>
          <a:ext cx="8913091" cy="4555151"/>
        </a:xfrm>
        <a:prstGeom prst="roundRect">
          <a:avLst>
            <a:gd name="adj" fmla="val 3995"/>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②補助事業情報シートで入力した補助事業完了日に応じて、補助事業</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年目、</a:t>
          </a:r>
          <a:r>
            <a:rPr kumimoji="1" lang="en-US" altLang="ja-JP" sz="1200">
              <a:solidFill>
                <a:sysClr val="windowText" lastClr="000000"/>
              </a:solidFill>
              <a:latin typeface="+mn-ea"/>
              <a:ea typeface="+mn-ea"/>
            </a:rPr>
            <a:t>3</a:t>
          </a:r>
          <a:r>
            <a:rPr kumimoji="1" lang="ja-JP" altLang="en-US" sz="1200">
              <a:solidFill>
                <a:sysClr val="windowText" lastClr="000000"/>
              </a:solidFill>
              <a:latin typeface="+mn-ea"/>
              <a:ea typeface="+mn-ea"/>
            </a:rPr>
            <a:t>年目は　　　　　　　　になります。　</a:t>
          </a:r>
          <a:endParaRPr kumimoji="1" lang="en-US" altLang="ja-JP" sz="1200">
            <a:solidFill>
              <a:sysClr val="windowText" lastClr="000000"/>
            </a:solidFill>
            <a:latin typeface="+mn-ea"/>
            <a:ea typeface="+mn-ea"/>
          </a:endParaRPr>
        </a:p>
      </xdr:txBody>
    </xdr:sp>
    <xdr:clientData/>
  </xdr:twoCellAnchor>
  <xdr:twoCellAnchor>
    <xdr:from>
      <xdr:col>4</xdr:col>
      <xdr:colOff>1915225</xdr:colOff>
      <xdr:row>6</xdr:row>
      <xdr:rowOff>26918</xdr:rowOff>
    </xdr:from>
    <xdr:to>
      <xdr:col>6</xdr:col>
      <xdr:colOff>638170</xdr:colOff>
      <xdr:row>9</xdr:row>
      <xdr:rowOff>135931</xdr:rowOff>
    </xdr:to>
    <xdr:sp macro="" textlink="">
      <xdr:nvSpPr>
        <xdr:cNvPr id="60" name="吹き出し: 角を丸めた四角形 59">
          <a:extLst>
            <a:ext uri="{FF2B5EF4-FFF2-40B4-BE49-F238E27FC236}">
              <a16:creationId xmlns:a16="http://schemas.microsoft.com/office/drawing/2014/main" id="{D817F617-C6FC-4CA0-8A9A-A40C4989442D}"/>
            </a:ext>
          </a:extLst>
        </xdr:cNvPr>
        <xdr:cNvSpPr/>
      </xdr:nvSpPr>
      <xdr:spPr>
        <a:xfrm>
          <a:off x="5366637" y="1248359"/>
          <a:ext cx="3373386" cy="781366"/>
        </a:xfrm>
        <a:prstGeom prst="wedgeRoundRectCallout">
          <a:avLst>
            <a:gd name="adj1" fmla="val 39046"/>
            <a:gd name="adj2" fmla="val 13958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中間金、着手金が発生する場合には、その費用も考慮して記載してください。</a:t>
          </a:r>
          <a:endParaRPr kumimoji="1" lang="en-US" altLang="ja-JP" sz="1200">
            <a:solidFill>
              <a:sysClr val="windowText" lastClr="000000"/>
            </a:solidFill>
            <a:latin typeface="+mn-ea"/>
            <a:ea typeface="+mn-ea"/>
          </a:endParaRPr>
        </a:p>
      </xdr:txBody>
    </xdr:sp>
    <xdr:clientData/>
  </xdr:twoCellAnchor>
  <xdr:twoCellAnchor>
    <xdr:from>
      <xdr:col>5</xdr:col>
      <xdr:colOff>156400</xdr:colOff>
      <xdr:row>43</xdr:row>
      <xdr:rowOff>189457</xdr:rowOff>
    </xdr:from>
    <xdr:to>
      <xdr:col>9</xdr:col>
      <xdr:colOff>833540</xdr:colOff>
      <xdr:row>63</xdr:row>
      <xdr:rowOff>198409</xdr:rowOff>
    </xdr:to>
    <xdr:sp macro="" textlink="">
      <xdr:nvSpPr>
        <xdr:cNvPr id="61" name="四角形: 角を丸くする 60">
          <a:extLst>
            <a:ext uri="{FF2B5EF4-FFF2-40B4-BE49-F238E27FC236}">
              <a16:creationId xmlns:a16="http://schemas.microsoft.com/office/drawing/2014/main" id="{9E20AE40-1F80-4636-A1AA-D65EE98A020A}"/>
            </a:ext>
          </a:extLst>
        </xdr:cNvPr>
        <xdr:cNvSpPr/>
      </xdr:nvSpPr>
      <xdr:spPr>
        <a:xfrm>
          <a:off x="6427025" y="13603832"/>
          <a:ext cx="7852640" cy="7311452"/>
        </a:xfrm>
        <a:prstGeom prst="roundRect">
          <a:avLst>
            <a:gd name="adj" fmla="val 3995"/>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全事業者</a:t>
          </a:r>
          <a:r>
            <a:rPr kumimoji="1" lang="en-US" altLang="ja-JP" sz="1200">
              <a:solidFill>
                <a:sysClr val="windowText" lastClr="000000"/>
              </a:solidFill>
              <a:latin typeface="+mn-ea"/>
              <a:ea typeface="+mn-ea"/>
            </a:rPr>
            <a:t>(1)~10</a:t>
          </a:r>
          <a:r>
            <a:rPr kumimoji="1" lang="ja-JP" altLang="en-US" sz="1200">
              <a:solidFill>
                <a:sysClr val="windowText" lastClr="000000"/>
              </a:solidFill>
              <a:latin typeface="+mn-ea"/>
              <a:ea typeface="+mn-ea"/>
            </a:rPr>
            <a:t>の経費明細の合計値が表示されます。</a:t>
          </a:r>
          <a:endParaRPr kumimoji="1" lang="en-US" altLang="ja-JP" sz="1200">
            <a:solidFill>
              <a:sysClr val="windowText" lastClr="000000"/>
            </a:solidFill>
            <a:latin typeface="+mn-ea"/>
            <a:ea typeface="+mn-ea"/>
          </a:endParaRPr>
        </a:p>
      </xdr:txBody>
    </xdr:sp>
    <xdr:clientData/>
  </xdr:twoCellAnchor>
  <xdr:twoCellAnchor>
    <xdr:from>
      <xdr:col>8</xdr:col>
      <xdr:colOff>888969</xdr:colOff>
      <xdr:row>14</xdr:row>
      <xdr:rowOff>313097</xdr:rowOff>
    </xdr:from>
    <xdr:to>
      <xdr:col>15</xdr:col>
      <xdr:colOff>1061875</xdr:colOff>
      <xdr:row>37</xdr:row>
      <xdr:rowOff>120033</xdr:rowOff>
    </xdr:to>
    <xdr:grpSp>
      <xdr:nvGrpSpPr>
        <xdr:cNvPr id="62" name="グループ化 61">
          <a:extLst>
            <a:ext uri="{FF2B5EF4-FFF2-40B4-BE49-F238E27FC236}">
              <a16:creationId xmlns:a16="http://schemas.microsoft.com/office/drawing/2014/main" id="{F06FAC55-E266-4C10-8F41-64A513E699B8}"/>
            </a:ext>
          </a:extLst>
        </xdr:cNvPr>
        <xdr:cNvGrpSpPr/>
      </xdr:nvGrpSpPr>
      <xdr:grpSpPr>
        <a:xfrm>
          <a:off x="12566619" y="3608747"/>
          <a:ext cx="15879631" cy="8350861"/>
          <a:chOff x="10335245" y="3283325"/>
          <a:chExt cx="15925740" cy="8628528"/>
        </a:xfrm>
        <a:solidFill>
          <a:schemeClr val="accent1">
            <a:lumMod val="60000"/>
            <a:lumOff val="40000"/>
          </a:schemeClr>
        </a:solidFill>
      </xdr:grpSpPr>
      <xdr:sp macro="" textlink="">
        <xdr:nvSpPr>
          <xdr:cNvPr id="63" name="四角形: 角を丸くする 62">
            <a:extLst>
              <a:ext uri="{FF2B5EF4-FFF2-40B4-BE49-F238E27FC236}">
                <a16:creationId xmlns:a16="http://schemas.microsoft.com/office/drawing/2014/main" id="{B3891D3F-5213-1AE3-23AC-E0CCCF187B07}"/>
              </a:ext>
            </a:extLst>
          </xdr:cNvPr>
          <xdr:cNvSpPr/>
        </xdr:nvSpPr>
        <xdr:spPr>
          <a:xfrm>
            <a:off x="18355235" y="3283325"/>
            <a:ext cx="7905750" cy="8628528"/>
          </a:xfrm>
          <a:prstGeom prst="roundRect">
            <a:avLst>
              <a:gd name="adj" fmla="val 3995"/>
            </a:avLst>
          </a:prstGeom>
          <a:grp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の入力枠はコンソーシアム形式で申請する場合に入力する項目です。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①申請者情報シートの入力に応じて　　　　　　　</a:t>
            </a:r>
            <a:r>
              <a:rPr kumimoji="1" lang="ja-JP" altLang="en-US" sz="1200" baseline="0">
                <a:solidFill>
                  <a:sysClr val="windowText" lastClr="000000"/>
                </a:solidFill>
                <a:latin typeface="+mn-ea"/>
                <a:ea typeface="+mn-ea"/>
              </a:rPr>
              <a:t> </a:t>
            </a:r>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xdr:txBody>
      </xdr:sp>
      <xdr:sp macro="" textlink="">
        <xdr:nvSpPr>
          <xdr:cNvPr id="64" name="テキスト ボックス 63">
            <a:extLst>
              <a:ext uri="{FF2B5EF4-FFF2-40B4-BE49-F238E27FC236}">
                <a16:creationId xmlns:a16="http://schemas.microsoft.com/office/drawing/2014/main" id="{08065FB9-DF42-B922-F78D-128E51463189}"/>
              </a:ext>
            </a:extLst>
          </xdr:cNvPr>
          <xdr:cNvSpPr txBox="1"/>
        </xdr:nvSpPr>
        <xdr:spPr>
          <a:xfrm>
            <a:off x="20928106" y="7601647"/>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5" name="テキスト ボックス 64">
            <a:extLst>
              <a:ext uri="{FF2B5EF4-FFF2-40B4-BE49-F238E27FC236}">
                <a16:creationId xmlns:a16="http://schemas.microsoft.com/office/drawing/2014/main" id="{B173929A-B066-C691-F23F-7B6E9669C295}"/>
              </a:ext>
            </a:extLst>
          </xdr:cNvPr>
          <xdr:cNvSpPr txBox="1"/>
        </xdr:nvSpPr>
        <xdr:spPr>
          <a:xfrm>
            <a:off x="22358184" y="7592681"/>
            <a:ext cx="720000" cy="25125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66" name="テキスト ボックス 65">
            <a:extLst>
              <a:ext uri="{FF2B5EF4-FFF2-40B4-BE49-F238E27FC236}">
                <a16:creationId xmlns:a16="http://schemas.microsoft.com/office/drawing/2014/main" id="{B8BB25D6-8E9C-DA19-5C5E-AFFAEEC12D04}"/>
              </a:ext>
            </a:extLst>
          </xdr:cNvPr>
          <xdr:cNvSpPr txBox="1"/>
        </xdr:nvSpPr>
        <xdr:spPr>
          <a:xfrm>
            <a:off x="10335245" y="7574245"/>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7</xdr:col>
      <xdr:colOff>1256886</xdr:colOff>
      <xdr:row>5</xdr:row>
      <xdr:rowOff>160111</xdr:rowOff>
    </xdr:from>
    <xdr:to>
      <xdr:col>9</xdr:col>
      <xdr:colOff>1173390</xdr:colOff>
      <xdr:row>9</xdr:row>
      <xdr:rowOff>27799</xdr:rowOff>
    </xdr:to>
    <xdr:sp macro="" textlink="">
      <xdr:nvSpPr>
        <xdr:cNvPr id="67" name="吹き出し: 角を丸めた四角形 66">
          <a:extLst>
            <a:ext uri="{FF2B5EF4-FFF2-40B4-BE49-F238E27FC236}">
              <a16:creationId xmlns:a16="http://schemas.microsoft.com/office/drawing/2014/main" id="{2D5A8528-725D-4ACB-BCA5-45207C036B77}"/>
            </a:ext>
          </a:extLst>
        </xdr:cNvPr>
        <xdr:cNvSpPr/>
      </xdr:nvSpPr>
      <xdr:spPr>
        <a:xfrm>
          <a:off x="11122065" y="1153432"/>
          <a:ext cx="3508789" cy="792974"/>
        </a:xfrm>
        <a:prstGeom prst="wedgeRoundRectCallout">
          <a:avLst>
            <a:gd name="adj1" fmla="val -41414"/>
            <a:gd name="adj2" fmla="val 164959"/>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補助率を許容するを選択した場合、</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C-1</a:t>
          </a:r>
          <a:r>
            <a:rPr kumimoji="1" lang="ja-JP" altLang="en-US" sz="1200">
              <a:solidFill>
                <a:sysClr val="windowText" lastClr="000000"/>
              </a:solidFill>
              <a:latin typeface="+mn-ea"/>
              <a:ea typeface="+mn-ea"/>
            </a:rPr>
            <a:t>）補助金交付申請額、（</a:t>
          </a:r>
          <a:r>
            <a:rPr kumimoji="1" lang="en-US" altLang="ja-JP" sz="1200">
              <a:solidFill>
                <a:sysClr val="windowText" lastClr="000000"/>
              </a:solidFill>
              <a:latin typeface="+mn-ea"/>
              <a:ea typeface="+mn-ea"/>
            </a:rPr>
            <a:t>C-2</a:t>
          </a:r>
          <a:r>
            <a:rPr kumimoji="1" lang="ja-JP" altLang="en-US" sz="1200">
              <a:solidFill>
                <a:sysClr val="windowText" lastClr="000000"/>
              </a:solidFill>
              <a:latin typeface="+mn-ea"/>
              <a:ea typeface="+mn-ea"/>
            </a:rPr>
            <a:t>）補助金交付申請額の双方が自動計算されます</a:t>
          </a:r>
          <a:endParaRPr kumimoji="1" lang="en-US" altLang="ja-JP" sz="1200">
            <a:solidFill>
              <a:sysClr val="windowText" lastClr="000000"/>
            </a:solidFill>
            <a:latin typeface="+mn-ea"/>
            <a:ea typeface="+mn-ea"/>
          </a:endParaRPr>
        </a:p>
      </xdr:txBody>
    </xdr:sp>
    <xdr:clientData/>
  </xdr:twoCellAnchor>
  <xdr:twoCellAnchor>
    <xdr:from>
      <xdr:col>7</xdr:col>
      <xdr:colOff>959444</xdr:colOff>
      <xdr:row>67</xdr:row>
      <xdr:rowOff>274544</xdr:rowOff>
    </xdr:from>
    <xdr:to>
      <xdr:col>9</xdr:col>
      <xdr:colOff>212314</xdr:colOff>
      <xdr:row>69</xdr:row>
      <xdr:rowOff>218482</xdr:rowOff>
    </xdr:to>
    <xdr:sp macro="" textlink="">
      <xdr:nvSpPr>
        <xdr:cNvPr id="68" name="吹き出し: 角を丸めた四角形 67">
          <a:extLst>
            <a:ext uri="{FF2B5EF4-FFF2-40B4-BE49-F238E27FC236}">
              <a16:creationId xmlns:a16="http://schemas.microsoft.com/office/drawing/2014/main" id="{66B21949-8AB6-4518-B33E-630DA56492DC}"/>
            </a:ext>
          </a:extLst>
        </xdr:cNvPr>
        <xdr:cNvSpPr/>
      </xdr:nvSpPr>
      <xdr:spPr>
        <a:xfrm>
          <a:off x="10817819" y="22451919"/>
          <a:ext cx="2840620" cy="531313"/>
        </a:xfrm>
        <a:prstGeom prst="wedgeRoundRectCallout">
          <a:avLst>
            <a:gd name="adj1" fmla="val -33428"/>
            <a:gd name="adj2" fmla="val -68361"/>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50</a:t>
          </a:r>
          <a:r>
            <a:rPr kumimoji="1" lang="ja-JP" altLang="en-US" sz="1200">
              <a:solidFill>
                <a:sysClr val="windowText" lastClr="000000"/>
              </a:solidFill>
              <a:latin typeface="+mn-ea"/>
              <a:ea typeface="+mn-ea"/>
            </a:rPr>
            <a:t>億円以内、かつ（</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）補助対象経費の</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以内で入力してください。</a:t>
          </a:r>
          <a:endParaRPr kumimoji="1" lang="en-US" altLang="ja-JP" sz="1200">
            <a:solidFill>
              <a:sysClr val="windowText" lastClr="000000"/>
            </a:solidFill>
            <a:latin typeface="+mn-ea"/>
            <a:ea typeface="+mn-ea"/>
          </a:endParaRPr>
        </a:p>
      </xdr:txBody>
    </xdr:sp>
    <xdr:clientData/>
  </xdr:twoCellAnchor>
  <xdr:twoCellAnchor>
    <xdr:from>
      <xdr:col>5</xdr:col>
      <xdr:colOff>700768</xdr:colOff>
      <xdr:row>68</xdr:row>
      <xdr:rowOff>217073</xdr:rowOff>
    </xdr:from>
    <xdr:to>
      <xdr:col>7</xdr:col>
      <xdr:colOff>11866</xdr:colOff>
      <xdr:row>71</xdr:row>
      <xdr:rowOff>43009</xdr:rowOff>
    </xdr:to>
    <xdr:sp macro="" textlink="">
      <xdr:nvSpPr>
        <xdr:cNvPr id="69" name="吹き出し: 角を丸めた四角形 68">
          <a:extLst>
            <a:ext uri="{FF2B5EF4-FFF2-40B4-BE49-F238E27FC236}">
              <a16:creationId xmlns:a16="http://schemas.microsoft.com/office/drawing/2014/main" id="{5FFAB529-F5C0-4F25-9159-630BC2A3A881}"/>
            </a:ext>
          </a:extLst>
        </xdr:cNvPr>
        <xdr:cNvSpPr/>
      </xdr:nvSpPr>
      <xdr:spPr>
        <a:xfrm>
          <a:off x="6971393" y="22759573"/>
          <a:ext cx="2898848" cy="492686"/>
        </a:xfrm>
        <a:prstGeom prst="wedgeRoundRectCallout">
          <a:avLst>
            <a:gd name="adj1" fmla="val 35879"/>
            <a:gd name="adj2" fmla="val -70525"/>
            <a:gd name="adj3" fmla="val 16667"/>
          </a:avLst>
        </a:prstGeom>
        <a:solidFill>
          <a:schemeClr val="accent1">
            <a:lumMod val="60000"/>
            <a:lumOff val="40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億円以上（専門家経費・外注費を除く補助対象経費分）を入力してください。</a:t>
          </a:r>
          <a:endParaRPr kumimoji="1" lang="en-US" altLang="ja-JP" sz="12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meti.go.jp/policy/sme_chiiki/chiikimiraitoushi.html" TargetMode="External"/><Relationship Id="rId13" Type="http://schemas.openxmlformats.org/officeDocument/2006/relationships/printerSettings" Target="../printerSettings/printerSettings2.bin"/><Relationship Id="rId3" Type="http://schemas.openxmlformats.org/officeDocument/2006/relationships/hyperlink" Target="https://www.e-stat.go.jp/surveyitems/items/386030127" TargetMode="External"/><Relationship Id="rId7" Type="http://schemas.openxmlformats.org/officeDocument/2006/relationships/hyperlink" Target="https://www.biz-partnership.jp/" TargetMode="External"/><Relationship Id="rId12" Type="http://schemas.openxmlformats.org/officeDocument/2006/relationships/hyperlink" Target="https://positive-ryouritsu.mhlw.go.jp/" TargetMode="External"/><Relationship Id="rId2" Type="http://schemas.openxmlformats.org/officeDocument/2006/relationships/hyperlink" Target="https://www.e-stat.go.jp/surveyitems/items/386030248" TargetMode="External"/><Relationship Id="rId1" Type="http://schemas.openxmlformats.org/officeDocument/2006/relationships/hyperlink" Target="https://www.e-stat.go.jp/surveyitems/items/386010197" TargetMode="External"/><Relationship Id="rId6" Type="http://schemas.openxmlformats.org/officeDocument/2006/relationships/hyperlink" Target="https://www.meti.go.jp/policy/sme_chiiki/chiiki_kenin_kigyou/index.html" TargetMode="External"/><Relationship Id="rId11" Type="http://schemas.openxmlformats.org/officeDocument/2006/relationships/hyperlink" Target="https://revicareer.jp/"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mhlw.go.jp/stf/seisakunitsuite/bunya/0000091025.html" TargetMode="External"/><Relationship Id="rId4" Type="http://schemas.openxmlformats.org/officeDocument/2006/relationships/hyperlink" Target="https://www.e-stat.go.jp/surveyitems/definitions/42841" TargetMode="External"/><Relationship Id="rId9" Type="http://schemas.openxmlformats.org/officeDocument/2006/relationships/hyperlink" Target="https://www.mhlw.go.jp/stf/seisakunitsuite/bunya/kodomo/shokuba_kosodate/kurumin/index.html"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H291"/>
  <sheetViews>
    <sheetView tabSelected="1" zoomScaleNormal="100" workbookViewId="0"/>
  </sheetViews>
  <sheetFormatPr defaultRowHeight="18" outlineLevelRow="1"/>
  <cols>
    <col min="1" max="1" width="3" customWidth="1"/>
    <col min="2" max="2" width="16.125" customWidth="1"/>
    <col min="3" max="3" width="31.75" bestFit="1" customWidth="1"/>
    <col min="4" max="4" width="56.75" bestFit="1" customWidth="1"/>
    <col min="5" max="5" width="87.375" customWidth="1"/>
  </cols>
  <sheetData>
    <row r="1" spans="1:5" s="1" customFormat="1" ht="14.45" customHeight="1">
      <c r="A1" s="96" t="s">
        <v>0</v>
      </c>
      <c r="E1" s="3"/>
    </row>
    <row r="2" spans="1:5" s="1" customFormat="1" ht="7.5" customHeight="1">
      <c r="A2" s="39"/>
      <c r="E2" s="3"/>
    </row>
    <row r="3" spans="1:5" s="1" customFormat="1" ht="23.1" thickBot="1">
      <c r="B3" s="66" t="s">
        <v>1</v>
      </c>
      <c r="E3" s="3"/>
    </row>
    <row r="4" spans="1:5" s="1" customFormat="1" ht="16.149999999999999" customHeight="1" thickBot="1">
      <c r="B4" s="114"/>
      <c r="D4" s="113" t="str">
        <f>IF(COUNTIF(E222:E287,"&lt;&gt;"&amp;" "),"要件を満たしていない項目があります。最下行の&lt;入力チェック&gt;を確認してください。","")</f>
        <v>要件を満たしていない項目があります。最下行の&lt;入力チェック&gt;を確認してください。</v>
      </c>
      <c r="E4" s="160"/>
    </row>
    <row r="5" spans="1:5" ht="46.5" customHeight="1"/>
    <row r="6" spans="1:5" ht="36" customHeight="1">
      <c r="B6" s="138" t="s">
        <v>2</v>
      </c>
      <c r="C6" s="108"/>
      <c r="D6" s="168" t="s">
        <v>3</v>
      </c>
      <c r="E6" s="90"/>
    </row>
    <row r="8" spans="1:5" ht="91.5" customHeight="1">
      <c r="B8" s="26" t="s">
        <v>4</v>
      </c>
      <c r="C8" s="53"/>
      <c r="D8" s="200" t="s">
        <v>5</v>
      </c>
      <c r="E8" s="136"/>
    </row>
    <row r="9" spans="1:5" ht="18" customHeight="1"/>
    <row r="10" spans="1:5" ht="36" customHeight="1">
      <c r="B10" s="130" t="s">
        <v>6</v>
      </c>
      <c r="C10" s="137"/>
      <c r="D10" s="133" t="s">
        <v>7</v>
      </c>
      <c r="E10" s="90"/>
    </row>
    <row r="11" spans="1:5" ht="96" customHeight="1">
      <c r="B11" s="295" t="s">
        <v>8</v>
      </c>
      <c r="C11" s="306"/>
      <c r="D11" s="307"/>
      <c r="E11" s="308"/>
    </row>
    <row r="12" spans="1:5" ht="61.5" customHeight="1">
      <c r="B12" s="130" t="s">
        <v>9</v>
      </c>
      <c r="C12" s="132"/>
      <c r="D12" s="133" t="s">
        <v>10</v>
      </c>
      <c r="E12" s="90"/>
    </row>
    <row r="13" spans="1:5" ht="123.95" customHeight="1">
      <c r="B13" s="296" t="s">
        <v>11</v>
      </c>
      <c r="C13" s="309"/>
      <c r="D13" s="309"/>
      <c r="E13" s="310"/>
    </row>
    <row r="14" spans="1:5" ht="36" customHeight="1">
      <c r="B14" s="173" t="s">
        <v>12</v>
      </c>
      <c r="C14" s="137"/>
      <c r="D14" s="229" t="s">
        <v>13</v>
      </c>
      <c r="E14" s="265"/>
    </row>
    <row r="15" spans="1:5" ht="36" customHeight="1">
      <c r="B15" s="14" t="s">
        <v>14</v>
      </c>
      <c r="C15" s="108"/>
      <c r="D15" s="168" t="s">
        <v>15</v>
      </c>
      <c r="E15" s="116"/>
    </row>
    <row r="16" spans="1:5" ht="36" customHeight="1">
      <c r="B16" s="130" t="s">
        <v>16</v>
      </c>
      <c r="C16" s="108"/>
      <c r="D16" s="132" t="s">
        <v>17</v>
      </c>
      <c r="E16" s="90"/>
    </row>
    <row r="17" spans="2:5" ht="36" customHeight="1">
      <c r="B17" s="14" t="s">
        <v>18</v>
      </c>
      <c r="C17" s="108"/>
      <c r="D17" s="133" t="s">
        <v>19</v>
      </c>
      <c r="E17" s="90"/>
    </row>
    <row r="18" spans="2:5" ht="36" customHeight="1">
      <c r="B18" s="130" t="s">
        <v>20</v>
      </c>
      <c r="C18" s="137"/>
      <c r="D18" s="131" t="s">
        <v>21</v>
      </c>
      <c r="E18" s="136"/>
    </row>
    <row r="19" spans="2:5" ht="36" customHeight="1">
      <c r="B19" s="14" t="s">
        <v>22</v>
      </c>
      <c r="C19" s="108"/>
      <c r="D19" s="131" t="s">
        <v>23</v>
      </c>
      <c r="E19" s="90"/>
    </row>
    <row r="20" spans="2:5" ht="36" customHeight="1">
      <c r="B20" s="14" t="s">
        <v>24</v>
      </c>
      <c r="C20" s="108"/>
      <c r="D20" s="131" t="s">
        <v>23</v>
      </c>
      <c r="E20" s="90"/>
    </row>
    <row r="21" spans="2:5" ht="36" customHeight="1">
      <c r="B21" s="52" t="s">
        <v>25</v>
      </c>
      <c r="C21" s="53" t="s">
        <v>26</v>
      </c>
      <c r="D21" s="168" t="s">
        <v>27</v>
      </c>
      <c r="E21" s="90"/>
    </row>
    <row r="22" spans="2:5" ht="36" customHeight="1">
      <c r="B22" s="186" t="s">
        <v>28</v>
      </c>
      <c r="C22" s="53" t="s">
        <v>29</v>
      </c>
      <c r="D22" s="168" t="s">
        <v>30</v>
      </c>
      <c r="E22" s="90"/>
    </row>
    <row r="23" spans="2:5" ht="36" customHeight="1">
      <c r="B23" s="54"/>
      <c r="C23" s="53" t="s">
        <v>31</v>
      </c>
      <c r="D23" s="130"/>
      <c r="E23" s="90"/>
    </row>
    <row r="24" spans="2:5" ht="36" customHeight="1">
      <c r="B24" s="54"/>
      <c r="C24" s="53" t="s">
        <v>32</v>
      </c>
      <c r="D24" s="130"/>
      <c r="E24" s="90"/>
    </row>
    <row r="25" spans="2:5" ht="36" customHeight="1">
      <c r="B25" s="54"/>
      <c r="C25" s="128" t="s">
        <v>33</v>
      </c>
      <c r="D25" s="131" t="s">
        <v>34</v>
      </c>
      <c r="E25" s="90"/>
    </row>
    <row r="26" spans="2:5" ht="36" customHeight="1">
      <c r="B26" s="54"/>
      <c r="C26" s="183" t="s">
        <v>35</v>
      </c>
      <c r="D26" s="131" t="s">
        <v>36</v>
      </c>
      <c r="E26" s="259"/>
    </row>
    <row r="27" spans="2:5" ht="36" customHeight="1">
      <c r="B27" s="54"/>
      <c r="C27" s="53" t="s">
        <v>37</v>
      </c>
      <c r="D27" s="131" t="s">
        <v>38</v>
      </c>
      <c r="E27" s="259"/>
    </row>
    <row r="28" spans="2:5" ht="36" customHeight="1">
      <c r="B28" s="55"/>
      <c r="C28" s="53" t="s">
        <v>39</v>
      </c>
      <c r="D28" s="131" t="s">
        <v>40</v>
      </c>
      <c r="E28" s="266"/>
    </row>
    <row r="29" spans="2:5" ht="36" customHeight="1">
      <c r="B29" s="52" t="s">
        <v>41</v>
      </c>
      <c r="C29" s="53" t="str">
        <f>$C$21</f>
        <v>担当者名（ふりがな）</v>
      </c>
      <c r="D29" s="184" t="s">
        <v>42</v>
      </c>
      <c r="E29" s="90"/>
    </row>
    <row r="30" spans="2:5" ht="36" customHeight="1">
      <c r="B30" s="54"/>
      <c r="C30" s="53" t="str">
        <f>$C$22</f>
        <v>担当者名</v>
      </c>
      <c r="D30" s="184" t="s">
        <v>43</v>
      </c>
      <c r="E30" s="90"/>
    </row>
    <row r="31" spans="2:5" ht="36" customHeight="1">
      <c r="B31" s="54"/>
      <c r="C31" s="53" t="str">
        <f>$C$23</f>
        <v>所属</v>
      </c>
      <c r="D31" s="130"/>
      <c r="E31" s="90"/>
    </row>
    <row r="32" spans="2:5" ht="36" customHeight="1">
      <c r="B32" s="54"/>
      <c r="C32" s="53" t="str">
        <f>$C$24</f>
        <v>役職</v>
      </c>
      <c r="D32" s="130"/>
      <c r="E32" s="90"/>
    </row>
    <row r="33" spans="2:5" ht="36" customHeight="1">
      <c r="B33" s="54"/>
      <c r="C33" s="128" t="s">
        <v>33</v>
      </c>
      <c r="D33" s="133" t="s">
        <v>44</v>
      </c>
      <c r="E33" s="90"/>
    </row>
    <row r="34" spans="2:5" ht="36" customHeight="1">
      <c r="B34" s="54"/>
      <c r="C34" s="183" t="s">
        <v>35</v>
      </c>
      <c r="D34" s="131" t="s">
        <v>36</v>
      </c>
      <c r="E34" s="90"/>
    </row>
    <row r="35" spans="2:5" ht="36" customHeight="1">
      <c r="B35" s="54"/>
      <c r="C35" s="53" t="str">
        <f>$C$27</f>
        <v>電話番号（携帯）</v>
      </c>
      <c r="D35" s="131" t="s">
        <v>38</v>
      </c>
      <c r="E35" s="90"/>
    </row>
    <row r="36" spans="2:5" ht="36" customHeight="1">
      <c r="B36" s="55"/>
      <c r="C36" s="53" t="str">
        <f>$C$28</f>
        <v>e-mail</v>
      </c>
      <c r="D36" s="133" t="s">
        <v>45</v>
      </c>
      <c r="E36" s="266"/>
    </row>
    <row r="37" spans="2:5" ht="36" customHeight="1">
      <c r="B37" s="14" t="s">
        <v>46</v>
      </c>
      <c r="C37" s="108"/>
      <c r="D37" s="131" t="s">
        <v>47</v>
      </c>
      <c r="E37" s="136"/>
    </row>
    <row r="38" spans="2:5" ht="36" customHeight="1">
      <c r="B38" s="14" t="s">
        <v>48</v>
      </c>
      <c r="C38" s="108"/>
      <c r="D38" s="131" t="s">
        <v>49</v>
      </c>
      <c r="E38" s="136"/>
    </row>
    <row r="39" spans="2:5" ht="36" customHeight="1">
      <c r="B39" s="14" t="s">
        <v>50</v>
      </c>
      <c r="C39" s="108"/>
      <c r="D39" s="133" t="s">
        <v>51</v>
      </c>
      <c r="E39" s="136"/>
    </row>
    <row r="40" spans="2:5" ht="36" customHeight="1">
      <c r="B40" s="14" t="s">
        <v>52</v>
      </c>
      <c r="C40" s="108"/>
      <c r="D40" s="133" t="s">
        <v>53</v>
      </c>
      <c r="E40" s="136"/>
    </row>
    <row r="42" spans="2:5">
      <c r="B42" s="126" t="s">
        <v>54</v>
      </c>
      <c r="C42" s="127"/>
      <c r="D42" s="127"/>
      <c r="E42" s="127"/>
    </row>
    <row r="43" spans="2:5" ht="36" customHeight="1">
      <c r="B43" s="52" t="s">
        <v>55</v>
      </c>
      <c r="C43" s="53" t="str">
        <f>$B$16</f>
        <v>法人番号（インボイス登録番号）</v>
      </c>
      <c r="D43" s="134" t="s">
        <v>56</v>
      </c>
      <c r="E43" s="90"/>
    </row>
    <row r="44" spans="2:5" ht="36" customHeight="1">
      <c r="B44" s="54"/>
      <c r="C44" s="53" t="str">
        <f>$B$17</f>
        <v>事業者名（企業名）</v>
      </c>
      <c r="D44" s="130"/>
      <c r="E44" s="90"/>
    </row>
    <row r="45" spans="2:5" ht="36" customHeight="1">
      <c r="B45" s="55"/>
      <c r="C45" s="14" t="s">
        <v>57</v>
      </c>
      <c r="D45" s="137"/>
      <c r="E45" s="90"/>
    </row>
    <row r="46" spans="2:5" ht="36" customHeight="1">
      <c r="B46" s="52" t="s">
        <v>58</v>
      </c>
      <c r="C46" s="53" t="str">
        <f>$B$16</f>
        <v>法人番号（インボイス登録番号）</v>
      </c>
      <c r="D46" s="134" t="s">
        <v>56</v>
      </c>
      <c r="E46" s="90"/>
    </row>
    <row r="47" spans="2:5" ht="36" customHeight="1">
      <c r="B47" s="54"/>
      <c r="C47" s="53" t="str">
        <f>$B$17</f>
        <v>事業者名（企業名）</v>
      </c>
      <c r="D47" s="130"/>
      <c r="E47" s="90"/>
    </row>
    <row r="48" spans="2:5" ht="36" customHeight="1">
      <c r="B48" s="55"/>
      <c r="C48" s="14" t="s">
        <v>57</v>
      </c>
      <c r="D48" s="137"/>
      <c r="E48" s="90"/>
    </row>
    <row r="49" spans="2:5" ht="36" customHeight="1">
      <c r="B49" s="52" t="s">
        <v>59</v>
      </c>
      <c r="C49" s="53" t="str">
        <f>$B$16</f>
        <v>法人番号（インボイス登録番号）</v>
      </c>
      <c r="D49" s="134" t="s">
        <v>56</v>
      </c>
      <c r="E49" s="90"/>
    </row>
    <row r="50" spans="2:5" ht="36" customHeight="1">
      <c r="B50" s="54"/>
      <c r="C50" s="53" t="str">
        <f>$B$17</f>
        <v>事業者名（企業名）</v>
      </c>
      <c r="D50" s="130"/>
      <c r="E50" s="90"/>
    </row>
    <row r="51" spans="2:5" ht="36" customHeight="1">
      <c r="B51" s="55"/>
      <c r="C51" s="14" t="s">
        <v>57</v>
      </c>
      <c r="D51" s="137"/>
      <c r="E51" s="90"/>
    </row>
    <row r="52" spans="2:5" ht="36" hidden="1" customHeight="1" outlineLevel="1">
      <c r="B52" s="52" t="s">
        <v>60</v>
      </c>
      <c r="C52" s="53" t="str">
        <f>$B$16</f>
        <v>法人番号（インボイス登録番号）</v>
      </c>
      <c r="D52" s="134" t="s">
        <v>56</v>
      </c>
      <c r="E52" s="90"/>
    </row>
    <row r="53" spans="2:5" ht="36" hidden="1" customHeight="1" outlineLevel="1">
      <c r="B53" s="54"/>
      <c r="C53" s="53" t="str">
        <f>$B$17</f>
        <v>事業者名（企業名）</v>
      </c>
      <c r="D53" s="130"/>
      <c r="E53" s="90"/>
    </row>
    <row r="54" spans="2:5" ht="36" hidden="1" customHeight="1" outlineLevel="1">
      <c r="B54" s="55"/>
      <c r="C54" s="14" t="s">
        <v>57</v>
      </c>
      <c r="D54" s="137"/>
      <c r="E54" s="90"/>
    </row>
    <row r="55" spans="2:5" ht="36" hidden="1" customHeight="1" outlineLevel="1">
      <c r="B55" s="52" t="s">
        <v>61</v>
      </c>
      <c r="C55" s="53" t="str">
        <f>$B$16</f>
        <v>法人番号（インボイス登録番号）</v>
      </c>
      <c r="D55" s="134" t="s">
        <v>56</v>
      </c>
      <c r="E55" s="90"/>
    </row>
    <row r="56" spans="2:5" ht="36" hidden="1" customHeight="1" outlineLevel="1">
      <c r="B56" s="54"/>
      <c r="C56" s="53" t="str">
        <f>$B$17</f>
        <v>事業者名（企業名）</v>
      </c>
      <c r="D56" s="130"/>
      <c r="E56" s="90"/>
    </row>
    <row r="57" spans="2:5" ht="36" hidden="1" customHeight="1" outlineLevel="1">
      <c r="B57" s="55"/>
      <c r="C57" s="14" t="s">
        <v>57</v>
      </c>
      <c r="D57" s="137"/>
      <c r="E57" s="90"/>
    </row>
    <row r="58" spans="2:5" ht="36" hidden="1" customHeight="1" outlineLevel="1">
      <c r="B58" s="52" t="s">
        <v>62</v>
      </c>
      <c r="C58" s="53" t="str">
        <f>$B$16</f>
        <v>法人番号（インボイス登録番号）</v>
      </c>
      <c r="D58" s="134" t="s">
        <v>56</v>
      </c>
      <c r="E58" s="90"/>
    </row>
    <row r="59" spans="2:5" ht="36" hidden="1" customHeight="1" outlineLevel="1">
      <c r="B59" s="54"/>
      <c r="C59" s="53" t="str">
        <f>$B$17</f>
        <v>事業者名（企業名）</v>
      </c>
      <c r="D59" s="130"/>
      <c r="E59" s="90"/>
    </row>
    <row r="60" spans="2:5" ht="36" hidden="1" customHeight="1" outlineLevel="1">
      <c r="B60" s="55"/>
      <c r="C60" s="14" t="s">
        <v>57</v>
      </c>
      <c r="D60" s="137"/>
      <c r="E60" s="90"/>
    </row>
    <row r="61" spans="2:5" ht="36" hidden="1" customHeight="1" outlineLevel="1">
      <c r="B61" s="52" t="s">
        <v>63</v>
      </c>
      <c r="C61" s="53" t="str">
        <f>$B$16</f>
        <v>法人番号（インボイス登録番号）</v>
      </c>
      <c r="D61" s="134" t="s">
        <v>56</v>
      </c>
      <c r="E61" s="90"/>
    </row>
    <row r="62" spans="2:5" ht="36" hidden="1" customHeight="1" outlineLevel="1">
      <c r="B62" s="54"/>
      <c r="C62" s="53" t="str">
        <f>$B$17</f>
        <v>事業者名（企業名）</v>
      </c>
      <c r="D62" s="130"/>
      <c r="E62" s="90"/>
    </row>
    <row r="63" spans="2:5" ht="36" hidden="1" customHeight="1" outlineLevel="1">
      <c r="B63" s="55"/>
      <c r="C63" s="14" t="s">
        <v>57</v>
      </c>
      <c r="D63" s="137"/>
      <c r="E63" s="90"/>
    </row>
    <row r="64" spans="2:5" ht="36" hidden="1" customHeight="1" outlineLevel="1">
      <c r="B64" s="52" t="s">
        <v>64</v>
      </c>
      <c r="C64" s="53" t="str">
        <f>$B$16</f>
        <v>法人番号（インボイス登録番号）</v>
      </c>
      <c r="D64" s="134" t="s">
        <v>56</v>
      </c>
      <c r="E64" s="90"/>
    </row>
    <row r="65" spans="2:8" ht="36" hidden="1" customHeight="1" outlineLevel="1">
      <c r="B65" s="54"/>
      <c r="C65" s="53" t="str">
        <f>$B$17</f>
        <v>事業者名（企業名）</v>
      </c>
      <c r="D65" s="130"/>
      <c r="E65" s="90"/>
    </row>
    <row r="66" spans="2:8" ht="36" hidden="1" customHeight="1" outlineLevel="1">
      <c r="B66" s="55"/>
      <c r="C66" s="14" t="s">
        <v>57</v>
      </c>
      <c r="D66" s="137"/>
      <c r="E66" s="90"/>
    </row>
    <row r="67" spans="2:8" ht="36" hidden="1" customHeight="1" outlineLevel="1">
      <c r="B67" s="52" t="s">
        <v>65</v>
      </c>
      <c r="C67" s="53" t="str">
        <f>$B$16</f>
        <v>法人番号（インボイス登録番号）</v>
      </c>
      <c r="D67" s="134" t="s">
        <v>56</v>
      </c>
      <c r="E67" s="90"/>
    </row>
    <row r="68" spans="2:8" ht="36" hidden="1" customHeight="1" outlineLevel="1">
      <c r="B68" s="54"/>
      <c r="C68" s="53" t="str">
        <f>$B$17</f>
        <v>事業者名（企業名）</v>
      </c>
      <c r="D68" s="130"/>
      <c r="E68" s="90"/>
    </row>
    <row r="69" spans="2:8" ht="36" hidden="1" customHeight="1" outlineLevel="1">
      <c r="B69" s="55"/>
      <c r="C69" s="14" t="s">
        <v>57</v>
      </c>
      <c r="D69" s="137"/>
      <c r="E69" s="90"/>
    </row>
    <row r="70" spans="2:8" ht="18" customHeight="1" collapsed="1">
      <c r="D70" s="9"/>
      <c r="E70" s="9"/>
    </row>
    <row r="71" spans="2:8" ht="18" customHeight="1">
      <c r="B71" s="61" t="s">
        <v>66</v>
      </c>
      <c r="D71" s="9"/>
      <c r="E71" s="9"/>
    </row>
    <row r="72" spans="2:8" ht="36" customHeight="1">
      <c r="B72" s="52" t="s">
        <v>67</v>
      </c>
      <c r="C72" s="53" t="str">
        <f>$B$17</f>
        <v>事業者名（企業名）</v>
      </c>
      <c r="D72" s="229" t="s">
        <v>68</v>
      </c>
      <c r="E72" s="294" t="str">
        <f>IF($E$8="非該当","",IF($E$17&lt;&gt;"",$E$17,""))</f>
        <v/>
      </c>
    </row>
    <row r="73" spans="2:8" ht="36" customHeight="1">
      <c r="B73" s="54"/>
      <c r="C73" s="151" t="s">
        <v>69</v>
      </c>
      <c r="D73" s="229" t="s">
        <v>70</v>
      </c>
      <c r="E73" s="136"/>
    </row>
    <row r="74" spans="2:8" ht="36" customHeight="1">
      <c r="B74" s="54"/>
      <c r="C74" s="151" t="s">
        <v>71</v>
      </c>
      <c r="D74" s="229" t="s">
        <v>72</v>
      </c>
      <c r="E74" s="90"/>
    </row>
    <row r="75" spans="2:8" ht="36" customHeight="1">
      <c r="B75" s="54"/>
      <c r="C75" s="151" t="s">
        <v>73</v>
      </c>
      <c r="D75" s="229" t="s">
        <v>74</v>
      </c>
      <c r="E75" s="90"/>
    </row>
    <row r="76" spans="2:8" ht="36" customHeight="1">
      <c r="B76" s="54"/>
      <c r="C76" s="151" t="s">
        <v>75</v>
      </c>
      <c r="D76" s="229" t="s">
        <v>76</v>
      </c>
      <c r="E76" s="90"/>
    </row>
    <row r="77" spans="2:8" ht="36" customHeight="1">
      <c r="B77" s="55"/>
      <c r="C77" s="151" t="s">
        <v>77</v>
      </c>
      <c r="D77" s="229" t="s">
        <v>78</v>
      </c>
      <c r="E77" s="210"/>
    </row>
    <row r="78" spans="2:8" ht="36" customHeight="1">
      <c r="B78" s="52" t="s">
        <v>55</v>
      </c>
      <c r="C78" s="53" t="str">
        <f>$B$17</f>
        <v>事業者名（企業名）</v>
      </c>
      <c r="D78" s="229" t="s">
        <v>68</v>
      </c>
      <c r="E78" s="294" t="str">
        <f>IF($E$8="非該当","",IF($E$44&lt;&gt;"",$E$44,""))</f>
        <v/>
      </c>
      <c r="H78" s="201"/>
    </row>
    <row r="79" spans="2:8" ht="36" customHeight="1">
      <c r="B79" s="54"/>
      <c r="C79" s="151" t="s">
        <v>69</v>
      </c>
      <c r="D79" s="229" t="s">
        <v>70</v>
      </c>
      <c r="E79" s="136"/>
    </row>
    <row r="80" spans="2:8" ht="36" customHeight="1">
      <c r="B80" s="54"/>
      <c r="C80" s="151" t="s">
        <v>71</v>
      </c>
      <c r="D80" s="229" t="s">
        <v>72</v>
      </c>
      <c r="E80" s="90"/>
    </row>
    <row r="81" spans="2:5" ht="36" customHeight="1">
      <c r="B81" s="54"/>
      <c r="C81" s="151" t="s">
        <v>73</v>
      </c>
      <c r="D81" s="229" t="s">
        <v>74</v>
      </c>
      <c r="E81" s="90"/>
    </row>
    <row r="82" spans="2:5" ht="36" customHeight="1">
      <c r="B82" s="54"/>
      <c r="C82" s="151" t="s">
        <v>75</v>
      </c>
      <c r="D82" s="229" t="s">
        <v>76</v>
      </c>
      <c r="E82" s="90"/>
    </row>
    <row r="83" spans="2:5" ht="36" customHeight="1">
      <c r="B83" s="55"/>
      <c r="C83" s="151" t="s">
        <v>77</v>
      </c>
      <c r="D83" s="229" t="s">
        <v>78</v>
      </c>
      <c r="E83" s="210"/>
    </row>
    <row r="84" spans="2:5" ht="36" customHeight="1">
      <c r="B84" s="52" t="s">
        <v>58</v>
      </c>
      <c r="C84" s="53" t="str">
        <f>$B$17</f>
        <v>事業者名（企業名）</v>
      </c>
      <c r="D84" s="229" t="s">
        <v>79</v>
      </c>
      <c r="E84" s="294" t="str">
        <f>IF($E$8="非該当","",IF($E$47&lt;&gt;"",$E$47,""))</f>
        <v/>
      </c>
    </row>
    <row r="85" spans="2:5" ht="36" customHeight="1">
      <c r="B85" s="54"/>
      <c r="C85" s="151" t="s">
        <v>69</v>
      </c>
      <c r="D85" s="229" t="s">
        <v>70</v>
      </c>
      <c r="E85" s="136"/>
    </row>
    <row r="86" spans="2:5" ht="36" customHeight="1">
      <c r="B86" s="54"/>
      <c r="C86" s="151" t="s">
        <v>71</v>
      </c>
      <c r="D86" s="229" t="s">
        <v>72</v>
      </c>
      <c r="E86" s="90"/>
    </row>
    <row r="87" spans="2:5" ht="36" customHeight="1">
      <c r="B87" s="54"/>
      <c r="C87" s="151" t="s">
        <v>73</v>
      </c>
      <c r="D87" s="229" t="s">
        <v>74</v>
      </c>
      <c r="E87" s="90"/>
    </row>
    <row r="88" spans="2:5" ht="36" customHeight="1">
      <c r="B88" s="54"/>
      <c r="C88" s="151" t="s">
        <v>75</v>
      </c>
      <c r="D88" s="229" t="s">
        <v>76</v>
      </c>
      <c r="E88" s="90"/>
    </row>
    <row r="89" spans="2:5" ht="36" customHeight="1">
      <c r="B89" s="55"/>
      <c r="C89" s="151" t="s">
        <v>77</v>
      </c>
      <c r="D89" s="229" t="s">
        <v>78</v>
      </c>
      <c r="E89" s="210"/>
    </row>
    <row r="90" spans="2:5" ht="36" customHeight="1" outlineLevel="1">
      <c r="B90" s="52" t="s">
        <v>59</v>
      </c>
      <c r="C90" s="53" t="str">
        <f>$B$17</f>
        <v>事業者名（企業名）</v>
      </c>
      <c r="D90" s="229" t="s">
        <v>79</v>
      </c>
      <c r="E90" s="294" t="str">
        <f>IF($E$8="非該当","",IF($E$50&lt;&gt;"",$E$50,""))</f>
        <v/>
      </c>
    </row>
    <row r="91" spans="2:5" ht="36" customHeight="1" outlineLevel="1">
      <c r="B91" s="54"/>
      <c r="C91" s="151" t="s">
        <v>69</v>
      </c>
      <c r="D91" s="229" t="s">
        <v>70</v>
      </c>
      <c r="E91" s="136"/>
    </row>
    <row r="92" spans="2:5" ht="36" customHeight="1" outlineLevel="1">
      <c r="B92" s="54"/>
      <c r="C92" s="151" t="s">
        <v>71</v>
      </c>
      <c r="D92" s="229" t="s">
        <v>72</v>
      </c>
      <c r="E92" s="90"/>
    </row>
    <row r="93" spans="2:5" ht="36" customHeight="1" outlineLevel="1">
      <c r="B93" s="54"/>
      <c r="C93" s="151" t="s">
        <v>73</v>
      </c>
      <c r="D93" s="229" t="s">
        <v>74</v>
      </c>
      <c r="E93" s="90"/>
    </row>
    <row r="94" spans="2:5" ht="36" customHeight="1" outlineLevel="1">
      <c r="B94" s="54"/>
      <c r="C94" s="151" t="s">
        <v>75</v>
      </c>
      <c r="D94" s="229" t="s">
        <v>76</v>
      </c>
      <c r="E94" s="90"/>
    </row>
    <row r="95" spans="2:5" ht="36" customHeight="1" outlineLevel="1">
      <c r="B95" s="55"/>
      <c r="C95" s="151" t="s">
        <v>77</v>
      </c>
      <c r="D95" s="229" t="s">
        <v>78</v>
      </c>
      <c r="E95" s="210"/>
    </row>
    <row r="96" spans="2:5" ht="36" customHeight="1" outlineLevel="1">
      <c r="B96" s="52" t="s">
        <v>60</v>
      </c>
      <c r="C96" s="53" t="str">
        <f>$B$17</f>
        <v>事業者名（企業名）</v>
      </c>
      <c r="D96" s="229" t="s">
        <v>79</v>
      </c>
      <c r="E96" s="294" t="str">
        <f>IF($E$8="非該当","",IF($E$53&lt;&gt;"",$E$53,""))</f>
        <v/>
      </c>
    </row>
    <row r="97" spans="2:5" ht="36" customHeight="1" outlineLevel="1">
      <c r="B97" s="54"/>
      <c r="C97" s="151" t="s">
        <v>69</v>
      </c>
      <c r="D97" s="229" t="s">
        <v>70</v>
      </c>
      <c r="E97" s="136"/>
    </row>
    <row r="98" spans="2:5" ht="36" customHeight="1" outlineLevel="1">
      <c r="B98" s="54"/>
      <c r="C98" s="151" t="s">
        <v>71</v>
      </c>
      <c r="D98" s="229" t="s">
        <v>72</v>
      </c>
      <c r="E98" s="90"/>
    </row>
    <row r="99" spans="2:5" ht="36" customHeight="1" outlineLevel="1">
      <c r="B99" s="54"/>
      <c r="C99" s="151" t="s">
        <v>73</v>
      </c>
      <c r="D99" s="229" t="s">
        <v>74</v>
      </c>
      <c r="E99" s="90"/>
    </row>
    <row r="100" spans="2:5" ht="36" customHeight="1" outlineLevel="1">
      <c r="B100" s="54"/>
      <c r="C100" s="151" t="s">
        <v>75</v>
      </c>
      <c r="D100" s="229" t="s">
        <v>76</v>
      </c>
      <c r="E100" s="90"/>
    </row>
    <row r="101" spans="2:5" ht="36" customHeight="1" outlineLevel="1">
      <c r="B101" s="55"/>
      <c r="C101" s="151" t="s">
        <v>77</v>
      </c>
      <c r="D101" s="229" t="s">
        <v>78</v>
      </c>
      <c r="E101" s="210"/>
    </row>
    <row r="102" spans="2:5" ht="36" customHeight="1" outlineLevel="1">
      <c r="B102" s="52" t="s">
        <v>61</v>
      </c>
      <c r="C102" s="53" t="str">
        <f>$B$17</f>
        <v>事業者名（企業名）</v>
      </c>
      <c r="D102" s="229" t="s">
        <v>79</v>
      </c>
      <c r="E102" s="294" t="str">
        <f>IF($E$8="非該当","",IF($E$56&lt;&gt;"",$E$56,""))</f>
        <v/>
      </c>
    </row>
    <row r="103" spans="2:5" ht="36" customHeight="1" outlineLevel="1">
      <c r="B103" s="54"/>
      <c r="C103" s="151" t="s">
        <v>69</v>
      </c>
      <c r="D103" s="229" t="s">
        <v>70</v>
      </c>
      <c r="E103" s="136"/>
    </row>
    <row r="104" spans="2:5" ht="36" customHeight="1" outlineLevel="1">
      <c r="B104" s="54"/>
      <c r="C104" s="151" t="s">
        <v>71</v>
      </c>
      <c r="D104" s="229" t="s">
        <v>72</v>
      </c>
      <c r="E104" s="90"/>
    </row>
    <row r="105" spans="2:5" ht="36" customHeight="1" outlineLevel="1">
      <c r="B105" s="54"/>
      <c r="C105" s="151" t="s">
        <v>73</v>
      </c>
      <c r="D105" s="229" t="s">
        <v>74</v>
      </c>
      <c r="E105" s="90"/>
    </row>
    <row r="106" spans="2:5" ht="36" customHeight="1" outlineLevel="1">
      <c r="B106" s="54"/>
      <c r="C106" s="151" t="s">
        <v>75</v>
      </c>
      <c r="D106" s="229" t="s">
        <v>76</v>
      </c>
      <c r="E106" s="90"/>
    </row>
    <row r="107" spans="2:5" ht="36" customHeight="1" outlineLevel="1">
      <c r="B107" s="55"/>
      <c r="C107" s="151" t="s">
        <v>77</v>
      </c>
      <c r="D107" s="229" t="s">
        <v>78</v>
      </c>
      <c r="E107" s="210"/>
    </row>
    <row r="108" spans="2:5" ht="36" customHeight="1" outlineLevel="1">
      <c r="B108" s="52" t="s">
        <v>62</v>
      </c>
      <c r="C108" s="53" t="str">
        <f>$B$17</f>
        <v>事業者名（企業名）</v>
      </c>
      <c r="D108" s="229" t="s">
        <v>79</v>
      </c>
      <c r="E108" s="294" t="str">
        <f>IF($E$8="非該当","",IF($E$59&lt;&gt;"",$E$59,""))</f>
        <v/>
      </c>
    </row>
    <row r="109" spans="2:5" ht="36" customHeight="1" outlineLevel="1">
      <c r="B109" s="54"/>
      <c r="C109" s="151" t="s">
        <v>69</v>
      </c>
      <c r="D109" s="229" t="s">
        <v>70</v>
      </c>
      <c r="E109" s="136"/>
    </row>
    <row r="110" spans="2:5" ht="36" customHeight="1" outlineLevel="1">
      <c r="B110" s="54"/>
      <c r="C110" s="151" t="s">
        <v>71</v>
      </c>
      <c r="D110" s="229" t="s">
        <v>72</v>
      </c>
      <c r="E110" s="90"/>
    </row>
    <row r="111" spans="2:5" ht="36" customHeight="1" outlineLevel="1">
      <c r="B111" s="54"/>
      <c r="C111" s="151" t="s">
        <v>73</v>
      </c>
      <c r="D111" s="229" t="s">
        <v>74</v>
      </c>
      <c r="E111" s="90"/>
    </row>
    <row r="112" spans="2:5" ht="36" customHeight="1" outlineLevel="1">
      <c r="B112" s="54"/>
      <c r="C112" s="151" t="s">
        <v>75</v>
      </c>
      <c r="D112" s="229" t="s">
        <v>76</v>
      </c>
      <c r="E112" s="90"/>
    </row>
    <row r="113" spans="2:5" ht="36" customHeight="1" outlineLevel="1">
      <c r="B113" s="55"/>
      <c r="C113" s="151" t="s">
        <v>77</v>
      </c>
      <c r="D113" s="229" t="s">
        <v>78</v>
      </c>
      <c r="E113" s="210"/>
    </row>
    <row r="114" spans="2:5" ht="36" customHeight="1" outlineLevel="1">
      <c r="B114" s="52" t="s">
        <v>63</v>
      </c>
      <c r="C114" s="53" t="str">
        <f>$B$17</f>
        <v>事業者名（企業名）</v>
      </c>
      <c r="D114" s="229" t="s">
        <v>79</v>
      </c>
      <c r="E114" s="294" t="str">
        <f>IF($E$8="非該当","",IF($E$62&lt;&gt;"",$E$62,""))</f>
        <v/>
      </c>
    </row>
    <row r="115" spans="2:5" ht="36" customHeight="1" outlineLevel="1">
      <c r="B115" s="54"/>
      <c r="C115" s="151" t="s">
        <v>69</v>
      </c>
      <c r="D115" s="229" t="s">
        <v>70</v>
      </c>
      <c r="E115" s="136"/>
    </row>
    <row r="116" spans="2:5" ht="36" customHeight="1" outlineLevel="1">
      <c r="B116" s="54"/>
      <c r="C116" s="151" t="s">
        <v>71</v>
      </c>
      <c r="D116" s="229" t="s">
        <v>72</v>
      </c>
      <c r="E116" s="90"/>
    </row>
    <row r="117" spans="2:5" ht="36" customHeight="1" outlineLevel="1">
      <c r="B117" s="54"/>
      <c r="C117" s="151" t="s">
        <v>73</v>
      </c>
      <c r="D117" s="229" t="s">
        <v>74</v>
      </c>
      <c r="E117" s="90"/>
    </row>
    <row r="118" spans="2:5" ht="36" customHeight="1" outlineLevel="1">
      <c r="B118" s="54"/>
      <c r="C118" s="151" t="s">
        <v>75</v>
      </c>
      <c r="D118" s="229" t="s">
        <v>76</v>
      </c>
      <c r="E118" s="90"/>
    </row>
    <row r="119" spans="2:5" ht="36" customHeight="1" outlineLevel="1">
      <c r="B119" s="55"/>
      <c r="C119" s="151" t="s">
        <v>77</v>
      </c>
      <c r="D119" s="229" t="s">
        <v>78</v>
      </c>
      <c r="E119" s="210"/>
    </row>
    <row r="120" spans="2:5" ht="36" customHeight="1" outlineLevel="1">
      <c r="B120" s="52" t="s">
        <v>64</v>
      </c>
      <c r="C120" s="53" t="str">
        <f>$B$17</f>
        <v>事業者名（企業名）</v>
      </c>
      <c r="D120" s="229" t="s">
        <v>79</v>
      </c>
      <c r="E120" s="294" t="str">
        <f>IF($E$8="非該当","",IF($E$65&lt;&gt;"",$E$65,""))</f>
        <v/>
      </c>
    </row>
    <row r="121" spans="2:5" ht="36" customHeight="1" outlineLevel="1">
      <c r="B121" s="54"/>
      <c r="C121" s="151" t="s">
        <v>69</v>
      </c>
      <c r="D121" s="229" t="s">
        <v>70</v>
      </c>
      <c r="E121" s="136"/>
    </row>
    <row r="122" spans="2:5" ht="36" customHeight="1" outlineLevel="1">
      <c r="B122" s="54"/>
      <c r="C122" s="151" t="s">
        <v>71</v>
      </c>
      <c r="D122" s="229" t="s">
        <v>72</v>
      </c>
      <c r="E122" s="90"/>
    </row>
    <row r="123" spans="2:5" ht="36" customHeight="1" outlineLevel="1">
      <c r="B123" s="54"/>
      <c r="C123" s="151" t="s">
        <v>73</v>
      </c>
      <c r="D123" s="229" t="s">
        <v>74</v>
      </c>
      <c r="E123" s="90"/>
    </row>
    <row r="124" spans="2:5" ht="36" customHeight="1" outlineLevel="1">
      <c r="B124" s="54"/>
      <c r="C124" s="151" t="s">
        <v>75</v>
      </c>
      <c r="D124" s="229" t="s">
        <v>76</v>
      </c>
      <c r="E124" s="90"/>
    </row>
    <row r="125" spans="2:5" ht="36" customHeight="1" outlineLevel="1">
      <c r="B125" s="55"/>
      <c r="C125" s="151" t="s">
        <v>77</v>
      </c>
      <c r="D125" s="229" t="s">
        <v>78</v>
      </c>
      <c r="E125" s="210"/>
    </row>
    <row r="126" spans="2:5" ht="36" customHeight="1" outlineLevel="1">
      <c r="B126" s="52" t="s">
        <v>65</v>
      </c>
      <c r="C126" s="53" t="str">
        <f>$B$17</f>
        <v>事業者名（企業名）</v>
      </c>
      <c r="D126" s="229" t="s">
        <v>79</v>
      </c>
      <c r="E126" s="294" t="str">
        <f>IF($E$8="非該当","",IF($E$68&lt;&gt;"",$E$68,""))</f>
        <v/>
      </c>
    </row>
    <row r="127" spans="2:5" ht="36" customHeight="1" outlineLevel="1">
      <c r="B127" s="54"/>
      <c r="C127" s="151" t="s">
        <v>69</v>
      </c>
      <c r="D127" s="229" t="s">
        <v>70</v>
      </c>
      <c r="E127" s="136"/>
    </row>
    <row r="128" spans="2:5" ht="36" customHeight="1" outlineLevel="1">
      <c r="B128" s="54"/>
      <c r="C128" s="151" t="s">
        <v>71</v>
      </c>
      <c r="D128" s="229" t="s">
        <v>72</v>
      </c>
      <c r="E128" s="90"/>
    </row>
    <row r="129" spans="2:5" ht="36" customHeight="1" outlineLevel="1">
      <c r="B129" s="54"/>
      <c r="C129" s="151" t="s">
        <v>73</v>
      </c>
      <c r="D129" s="229" t="s">
        <v>74</v>
      </c>
      <c r="E129" s="90"/>
    </row>
    <row r="130" spans="2:5" ht="36" customHeight="1" outlineLevel="1">
      <c r="B130" s="54"/>
      <c r="C130" s="151" t="s">
        <v>75</v>
      </c>
      <c r="D130" s="229" t="s">
        <v>76</v>
      </c>
      <c r="E130" s="90"/>
    </row>
    <row r="131" spans="2:5" ht="36" customHeight="1" outlineLevel="1">
      <c r="B131" s="55"/>
      <c r="C131" s="151" t="s">
        <v>77</v>
      </c>
      <c r="D131" s="229" t="s">
        <v>78</v>
      </c>
      <c r="E131" s="210"/>
    </row>
    <row r="132" spans="2:5" ht="18" customHeight="1">
      <c r="C132" s="199"/>
      <c r="D132" s="228"/>
    </row>
    <row r="133" spans="2:5" ht="18" customHeight="1">
      <c r="B133" s="126" t="s">
        <v>80</v>
      </c>
    </row>
    <row r="134" spans="2:5" ht="36" customHeight="1">
      <c r="B134" s="190" t="s">
        <v>81</v>
      </c>
      <c r="C134" s="18" t="s">
        <v>82</v>
      </c>
      <c r="D134" s="185"/>
      <c r="E134" s="90"/>
    </row>
    <row r="135" spans="2:5" ht="36" customHeight="1">
      <c r="B135" s="191"/>
      <c r="C135" s="18" t="s">
        <v>83</v>
      </c>
      <c r="D135" s="185" t="s">
        <v>84</v>
      </c>
      <c r="E135" s="90"/>
    </row>
    <row r="136" spans="2:5" ht="36" customHeight="1">
      <c r="B136" s="190" t="s">
        <v>85</v>
      </c>
      <c r="C136" s="18" t="s">
        <v>82</v>
      </c>
      <c r="D136" s="185"/>
      <c r="E136" s="90"/>
    </row>
    <row r="137" spans="2:5" ht="36" customHeight="1">
      <c r="B137" s="191"/>
      <c r="C137" s="18" t="s">
        <v>83</v>
      </c>
      <c r="D137" s="185" t="s">
        <v>84</v>
      </c>
      <c r="E137" s="90"/>
    </row>
    <row r="138" spans="2:5" ht="36" customHeight="1">
      <c r="B138" s="190" t="s">
        <v>86</v>
      </c>
      <c r="C138" s="18" t="s">
        <v>82</v>
      </c>
      <c r="D138" s="185"/>
      <c r="E138" s="90"/>
    </row>
    <row r="139" spans="2:5" ht="36" customHeight="1">
      <c r="B139" s="191"/>
      <c r="C139" s="18" t="s">
        <v>83</v>
      </c>
      <c r="D139" s="185" t="s">
        <v>84</v>
      </c>
      <c r="E139" s="90"/>
    </row>
    <row r="140" spans="2:5" ht="36" hidden="1" customHeight="1" outlineLevel="1">
      <c r="B140" s="190" t="s">
        <v>87</v>
      </c>
      <c r="C140" s="18" t="s">
        <v>82</v>
      </c>
      <c r="D140" s="185"/>
      <c r="E140" s="90"/>
    </row>
    <row r="141" spans="2:5" ht="36" hidden="1" customHeight="1" outlineLevel="1">
      <c r="B141" s="191"/>
      <c r="C141" s="18" t="s">
        <v>83</v>
      </c>
      <c r="D141" s="185" t="s">
        <v>84</v>
      </c>
      <c r="E141" s="90"/>
    </row>
    <row r="142" spans="2:5" ht="36" hidden="1" customHeight="1" outlineLevel="1">
      <c r="B142" s="190" t="s">
        <v>88</v>
      </c>
      <c r="C142" s="18" t="s">
        <v>82</v>
      </c>
      <c r="D142" s="185"/>
      <c r="E142" s="90"/>
    </row>
    <row r="143" spans="2:5" ht="36" hidden="1" customHeight="1" outlineLevel="1">
      <c r="B143" s="191"/>
      <c r="C143" s="18" t="s">
        <v>83</v>
      </c>
      <c r="D143" s="185" t="s">
        <v>84</v>
      </c>
      <c r="E143" s="90"/>
    </row>
    <row r="144" spans="2:5" ht="36" hidden="1" customHeight="1" outlineLevel="1">
      <c r="B144" s="190" t="s">
        <v>89</v>
      </c>
      <c r="C144" s="18" t="s">
        <v>82</v>
      </c>
      <c r="D144" s="185"/>
      <c r="E144" s="90"/>
    </row>
    <row r="145" spans="2:5" ht="36" hidden="1" customHeight="1" outlineLevel="1">
      <c r="B145" s="191"/>
      <c r="C145" s="18" t="s">
        <v>83</v>
      </c>
      <c r="D145" s="185" t="s">
        <v>84</v>
      </c>
      <c r="E145" s="90"/>
    </row>
    <row r="146" spans="2:5" ht="36" hidden="1" customHeight="1" outlineLevel="1">
      <c r="B146" s="190" t="s">
        <v>90</v>
      </c>
      <c r="C146" s="18" t="s">
        <v>82</v>
      </c>
      <c r="D146" s="185"/>
      <c r="E146" s="90"/>
    </row>
    <row r="147" spans="2:5" ht="36" hidden="1" customHeight="1" outlineLevel="1">
      <c r="B147" s="191"/>
      <c r="C147" s="18" t="s">
        <v>83</v>
      </c>
      <c r="D147" s="185" t="s">
        <v>84</v>
      </c>
      <c r="E147" s="90"/>
    </row>
    <row r="148" spans="2:5" ht="36" hidden="1" customHeight="1" outlineLevel="1">
      <c r="B148" s="190" t="s">
        <v>91</v>
      </c>
      <c r="C148" s="18" t="s">
        <v>82</v>
      </c>
      <c r="D148" s="185"/>
      <c r="E148" s="90"/>
    </row>
    <row r="149" spans="2:5" ht="36" hidden="1" customHeight="1" outlineLevel="1">
      <c r="B149" s="191"/>
      <c r="C149" s="18" t="s">
        <v>83</v>
      </c>
      <c r="D149" s="185" t="s">
        <v>84</v>
      </c>
      <c r="E149" s="90"/>
    </row>
    <row r="150" spans="2:5" ht="36" hidden="1" customHeight="1" outlineLevel="1">
      <c r="B150" s="190" t="s">
        <v>92</v>
      </c>
      <c r="C150" s="18" t="s">
        <v>82</v>
      </c>
      <c r="D150" s="185"/>
      <c r="E150" s="90"/>
    </row>
    <row r="151" spans="2:5" ht="36" hidden="1" customHeight="1" outlineLevel="1">
      <c r="B151" s="191"/>
      <c r="C151" s="18" t="s">
        <v>83</v>
      </c>
      <c r="D151" s="185" t="s">
        <v>84</v>
      </c>
      <c r="E151" s="90"/>
    </row>
    <row r="152" spans="2:5" ht="36" hidden="1" customHeight="1" outlineLevel="1">
      <c r="B152" s="190" t="s">
        <v>93</v>
      </c>
      <c r="C152" s="18" t="s">
        <v>82</v>
      </c>
      <c r="D152" s="185"/>
      <c r="E152" s="90"/>
    </row>
    <row r="153" spans="2:5" ht="36" hidden="1" customHeight="1" outlineLevel="1">
      <c r="B153" s="191"/>
      <c r="C153" s="18" t="s">
        <v>83</v>
      </c>
      <c r="D153" s="185" t="s">
        <v>84</v>
      </c>
      <c r="E153" s="90"/>
    </row>
    <row r="154" spans="2:5" ht="18" customHeight="1" collapsed="1">
      <c r="B154" s="6"/>
      <c r="C154" s="6"/>
      <c r="D154" s="2"/>
      <c r="E154" s="6"/>
    </row>
    <row r="155" spans="2:5" ht="18" customHeight="1">
      <c r="B155" s="61" t="s">
        <v>94</v>
      </c>
      <c r="C155" s="6"/>
      <c r="D155" s="2"/>
      <c r="E155" s="6"/>
    </row>
    <row r="156" spans="2:5" ht="36" customHeight="1">
      <c r="B156" s="18" t="s">
        <v>95</v>
      </c>
      <c r="C156" s="18" t="s">
        <v>96</v>
      </c>
      <c r="D156" s="168"/>
      <c r="E156" s="90"/>
    </row>
    <row r="157" spans="2:5" ht="36" customHeight="1">
      <c r="B157" s="18" t="s">
        <v>97</v>
      </c>
      <c r="C157" s="18" t="s">
        <v>96</v>
      </c>
      <c r="D157" s="168"/>
      <c r="E157" s="90"/>
    </row>
    <row r="158" spans="2:5" ht="36" customHeight="1">
      <c r="B158" s="18" t="s">
        <v>98</v>
      </c>
      <c r="C158" s="18" t="s">
        <v>96</v>
      </c>
      <c r="D158" s="168"/>
      <c r="E158" s="90"/>
    </row>
    <row r="159" spans="2:5" ht="36" hidden="1" customHeight="1" outlineLevel="1">
      <c r="B159" s="18" t="s">
        <v>99</v>
      </c>
      <c r="C159" s="18" t="s">
        <v>96</v>
      </c>
      <c r="D159" s="168"/>
      <c r="E159" s="90"/>
    </row>
    <row r="160" spans="2:5" ht="36" hidden="1" customHeight="1" outlineLevel="1">
      <c r="B160" s="18" t="s">
        <v>100</v>
      </c>
      <c r="C160" s="18" t="s">
        <v>96</v>
      </c>
      <c r="D160" s="168"/>
      <c r="E160" s="90"/>
    </row>
    <row r="161" spans="2:6" ht="36" hidden="1" customHeight="1" outlineLevel="1">
      <c r="B161" s="18" t="s">
        <v>101</v>
      </c>
      <c r="C161" s="18" t="s">
        <v>96</v>
      </c>
      <c r="D161" s="168"/>
      <c r="E161" s="90"/>
    </row>
    <row r="162" spans="2:6" ht="36" hidden="1" customHeight="1" outlineLevel="1">
      <c r="B162" s="18" t="s">
        <v>102</v>
      </c>
      <c r="C162" s="18" t="s">
        <v>96</v>
      </c>
      <c r="D162" s="168"/>
      <c r="E162" s="90"/>
    </row>
    <row r="163" spans="2:6" ht="36" hidden="1" customHeight="1" outlineLevel="1">
      <c r="B163" s="18" t="s">
        <v>103</v>
      </c>
      <c r="C163" s="18" t="s">
        <v>96</v>
      </c>
      <c r="D163" s="168"/>
      <c r="E163" s="90"/>
    </row>
    <row r="164" spans="2:6" ht="36" hidden="1" customHeight="1" outlineLevel="1">
      <c r="B164" s="18" t="s">
        <v>104</v>
      </c>
      <c r="C164" s="18" t="s">
        <v>96</v>
      </c>
      <c r="D164" s="168"/>
      <c r="E164" s="90"/>
    </row>
    <row r="165" spans="2:6" ht="36" hidden="1" customHeight="1" outlineLevel="1">
      <c r="B165" s="18" t="s">
        <v>105</v>
      </c>
      <c r="C165" s="18" t="s">
        <v>96</v>
      </c>
      <c r="D165" s="168"/>
      <c r="E165" s="90"/>
    </row>
    <row r="166" spans="2:6" ht="18" customHeight="1" collapsed="1">
      <c r="B166" s="6"/>
      <c r="C166" s="6"/>
      <c r="D166" s="2"/>
      <c r="E166" s="6"/>
    </row>
    <row r="167" spans="2:6" ht="18" customHeight="1">
      <c r="B167" s="61" t="s">
        <v>106</v>
      </c>
      <c r="C167" s="6"/>
      <c r="D167" s="2"/>
      <c r="E167" s="6"/>
    </row>
    <row r="168" spans="2:6" ht="36" customHeight="1">
      <c r="B168" s="203" t="s">
        <v>67</v>
      </c>
      <c r="C168" s="18" t="s">
        <v>82</v>
      </c>
      <c r="D168" s="200"/>
      <c r="E168" s="232" t="str">
        <f>IF($E$12&lt;&gt;"該当","",$E$17)</f>
        <v/>
      </c>
      <c r="F168" s="201"/>
    </row>
    <row r="169" spans="2:6" ht="36" customHeight="1">
      <c r="B169" s="204"/>
      <c r="C169" s="18" t="s">
        <v>107</v>
      </c>
      <c r="D169" s="200" t="s">
        <v>108</v>
      </c>
      <c r="E169" s="241"/>
    </row>
    <row r="170" spans="2:6" ht="36" customHeight="1">
      <c r="B170" s="204"/>
      <c r="C170" s="18" t="s">
        <v>109</v>
      </c>
      <c r="D170" s="200" t="s">
        <v>108</v>
      </c>
      <c r="E170" s="241"/>
    </row>
    <row r="171" spans="2:6" ht="36" customHeight="1">
      <c r="B171" s="204"/>
      <c r="C171" s="18" t="s">
        <v>110</v>
      </c>
      <c r="D171" s="200" t="s">
        <v>111</v>
      </c>
      <c r="E171" s="241"/>
    </row>
    <row r="172" spans="2:6" ht="36" customHeight="1">
      <c r="B172" s="51"/>
      <c r="C172" s="18" t="s">
        <v>112</v>
      </c>
      <c r="D172" s="200" t="s">
        <v>111</v>
      </c>
      <c r="E172" s="241"/>
    </row>
    <row r="173" spans="2:6" ht="36" customHeight="1">
      <c r="B173" s="203" t="s">
        <v>55</v>
      </c>
      <c r="C173" s="18" t="s">
        <v>82</v>
      </c>
      <c r="D173" s="200"/>
      <c r="E173" s="232" t="str">
        <f>IF($E$12&lt;&gt;"該当","",IF($E$44&lt;&gt;"",$E$44,""))</f>
        <v/>
      </c>
    </row>
    <row r="174" spans="2:6" ht="36" customHeight="1">
      <c r="B174" s="204"/>
      <c r="C174" s="18" t="s">
        <v>107</v>
      </c>
      <c r="D174" s="200" t="s">
        <v>108</v>
      </c>
      <c r="E174" s="241"/>
    </row>
    <row r="175" spans="2:6" ht="36" customHeight="1">
      <c r="B175" s="204"/>
      <c r="C175" s="18" t="s">
        <v>109</v>
      </c>
      <c r="D175" s="200" t="s">
        <v>108</v>
      </c>
      <c r="E175" s="241"/>
    </row>
    <row r="176" spans="2:6" ht="36" customHeight="1">
      <c r="B176" s="204"/>
      <c r="C176" s="18" t="s">
        <v>110</v>
      </c>
      <c r="D176" s="200" t="s">
        <v>111</v>
      </c>
      <c r="E176" s="241"/>
    </row>
    <row r="177" spans="2:5" ht="36" customHeight="1">
      <c r="B177" s="51"/>
      <c r="C177" s="18" t="s">
        <v>112</v>
      </c>
      <c r="D177" s="200" t="s">
        <v>111</v>
      </c>
      <c r="E177" s="241"/>
    </row>
    <row r="178" spans="2:5" ht="36" customHeight="1">
      <c r="B178" s="203" t="s">
        <v>58</v>
      </c>
      <c r="C178" s="18" t="s">
        <v>82</v>
      </c>
      <c r="D178" s="200"/>
      <c r="E178" s="232" t="str">
        <f>IF($E$12&lt;&gt;"該当","",IF($E$47&lt;&gt;"",$E$47,""))</f>
        <v/>
      </c>
    </row>
    <row r="179" spans="2:5" ht="36" customHeight="1">
      <c r="B179" s="204"/>
      <c r="C179" s="18" t="s">
        <v>107</v>
      </c>
      <c r="D179" s="200" t="s">
        <v>108</v>
      </c>
      <c r="E179" s="241"/>
    </row>
    <row r="180" spans="2:5" ht="36" customHeight="1">
      <c r="B180" s="204"/>
      <c r="C180" s="18" t="s">
        <v>109</v>
      </c>
      <c r="D180" s="200" t="s">
        <v>108</v>
      </c>
      <c r="E180" s="241"/>
    </row>
    <row r="181" spans="2:5" ht="36" customHeight="1">
      <c r="B181" s="204"/>
      <c r="C181" s="18" t="s">
        <v>110</v>
      </c>
      <c r="D181" s="200" t="s">
        <v>111</v>
      </c>
      <c r="E181" s="241"/>
    </row>
    <row r="182" spans="2:5" ht="36" customHeight="1">
      <c r="B182" s="51"/>
      <c r="C182" s="18" t="s">
        <v>112</v>
      </c>
      <c r="D182" s="200" t="s">
        <v>111</v>
      </c>
      <c r="E182" s="241"/>
    </row>
    <row r="183" spans="2:5" ht="36" hidden="1" customHeight="1" outlineLevel="1">
      <c r="B183" s="203" t="s">
        <v>59</v>
      </c>
      <c r="C183" s="18" t="s">
        <v>82</v>
      </c>
      <c r="D183" s="200"/>
      <c r="E183" s="232" t="str">
        <f>IF($E$12&lt;&gt;"該当","",IF($E$50&lt;&gt;"",$E$50,""))</f>
        <v/>
      </c>
    </row>
    <row r="184" spans="2:5" ht="36" hidden="1" customHeight="1" outlineLevel="1">
      <c r="B184" s="204"/>
      <c r="C184" s="18" t="s">
        <v>107</v>
      </c>
      <c r="D184" s="200" t="s">
        <v>108</v>
      </c>
      <c r="E184" s="241"/>
    </row>
    <row r="185" spans="2:5" ht="36" hidden="1" customHeight="1" outlineLevel="1">
      <c r="B185" s="204"/>
      <c r="C185" s="18" t="s">
        <v>109</v>
      </c>
      <c r="D185" s="200" t="s">
        <v>108</v>
      </c>
      <c r="E185" s="241"/>
    </row>
    <row r="186" spans="2:5" ht="36" hidden="1" customHeight="1" outlineLevel="1">
      <c r="B186" s="204"/>
      <c r="C186" s="18" t="s">
        <v>110</v>
      </c>
      <c r="D186" s="200" t="s">
        <v>111</v>
      </c>
      <c r="E186" s="241"/>
    </row>
    <row r="187" spans="2:5" ht="36" hidden="1" customHeight="1" outlineLevel="1">
      <c r="B187" s="51"/>
      <c r="C187" s="18" t="s">
        <v>112</v>
      </c>
      <c r="D187" s="200" t="s">
        <v>111</v>
      </c>
      <c r="E187" s="241"/>
    </row>
    <row r="188" spans="2:5" ht="36" hidden="1" customHeight="1" outlineLevel="1">
      <c r="B188" s="203" t="s">
        <v>60</v>
      </c>
      <c r="C188" s="18" t="s">
        <v>82</v>
      </c>
      <c r="D188" s="200"/>
      <c r="E188" s="232" t="str">
        <f>IF($E$12&lt;&gt;"該当","",IF($E$53&lt;&gt;"",$E$53,""))</f>
        <v/>
      </c>
    </row>
    <row r="189" spans="2:5" ht="36" hidden="1" customHeight="1" outlineLevel="1">
      <c r="B189" s="204"/>
      <c r="C189" s="18" t="s">
        <v>107</v>
      </c>
      <c r="D189" s="200" t="s">
        <v>108</v>
      </c>
      <c r="E189" s="241"/>
    </row>
    <row r="190" spans="2:5" ht="36" hidden="1" customHeight="1" outlineLevel="1">
      <c r="B190" s="204"/>
      <c r="C190" s="18" t="s">
        <v>109</v>
      </c>
      <c r="D190" s="200" t="s">
        <v>108</v>
      </c>
      <c r="E190" s="241"/>
    </row>
    <row r="191" spans="2:5" ht="36" hidden="1" customHeight="1" outlineLevel="1">
      <c r="B191" s="204"/>
      <c r="C191" s="18" t="s">
        <v>110</v>
      </c>
      <c r="D191" s="200" t="s">
        <v>111</v>
      </c>
      <c r="E191" s="241"/>
    </row>
    <row r="192" spans="2:5" ht="36" hidden="1" customHeight="1" outlineLevel="1">
      <c r="B192" s="51"/>
      <c r="C192" s="18" t="s">
        <v>112</v>
      </c>
      <c r="D192" s="200" t="s">
        <v>111</v>
      </c>
      <c r="E192" s="241"/>
    </row>
    <row r="193" spans="2:5" ht="36" hidden="1" customHeight="1" outlineLevel="1">
      <c r="B193" s="203" t="s">
        <v>61</v>
      </c>
      <c r="C193" s="18" t="s">
        <v>82</v>
      </c>
      <c r="D193" s="200"/>
      <c r="E193" s="232" t="str">
        <f>IF($E$12&lt;&gt;"該当","",IF($E$56&lt;&gt;"",$E$56,""))</f>
        <v/>
      </c>
    </row>
    <row r="194" spans="2:5" ht="36" hidden="1" customHeight="1" outlineLevel="1">
      <c r="B194" s="54"/>
      <c r="C194" s="18" t="s">
        <v>107</v>
      </c>
      <c r="D194" s="200" t="s">
        <v>108</v>
      </c>
      <c r="E194" s="241"/>
    </row>
    <row r="195" spans="2:5" ht="36" hidden="1" customHeight="1" outlineLevel="1">
      <c r="B195" s="54"/>
      <c r="C195" s="18" t="s">
        <v>109</v>
      </c>
      <c r="D195" s="200" t="s">
        <v>108</v>
      </c>
      <c r="E195" s="241"/>
    </row>
    <row r="196" spans="2:5" ht="36" hidden="1" customHeight="1" outlineLevel="1">
      <c r="B196" s="54"/>
      <c r="C196" s="18" t="s">
        <v>110</v>
      </c>
      <c r="D196" s="200" t="s">
        <v>111</v>
      </c>
      <c r="E196" s="241"/>
    </row>
    <row r="197" spans="2:5" ht="36" hidden="1" customHeight="1" outlineLevel="1">
      <c r="B197" s="51"/>
      <c r="C197" s="18" t="s">
        <v>112</v>
      </c>
      <c r="D197" s="200" t="s">
        <v>111</v>
      </c>
      <c r="E197" s="241"/>
    </row>
    <row r="198" spans="2:5" ht="36" hidden="1" customHeight="1" outlineLevel="1">
      <c r="B198" s="203" t="s">
        <v>62</v>
      </c>
      <c r="C198" s="18" t="s">
        <v>82</v>
      </c>
      <c r="D198" s="200"/>
      <c r="E198" s="232" t="str">
        <f>IF($E$12&lt;&gt;"該当","",IF($E$59&lt;&gt;"",$E$59,""))</f>
        <v/>
      </c>
    </row>
    <row r="199" spans="2:5" ht="36" hidden="1" customHeight="1" outlineLevel="1">
      <c r="B199" s="204"/>
      <c r="C199" s="18" t="s">
        <v>107</v>
      </c>
      <c r="D199" s="200" t="s">
        <v>108</v>
      </c>
      <c r="E199" s="241"/>
    </row>
    <row r="200" spans="2:5" ht="36" hidden="1" customHeight="1" outlineLevel="1">
      <c r="B200" s="204"/>
      <c r="C200" s="18" t="s">
        <v>109</v>
      </c>
      <c r="D200" s="200" t="s">
        <v>108</v>
      </c>
      <c r="E200" s="241"/>
    </row>
    <row r="201" spans="2:5" ht="36" hidden="1" customHeight="1" outlineLevel="1">
      <c r="B201" s="204"/>
      <c r="C201" s="18" t="s">
        <v>110</v>
      </c>
      <c r="D201" s="200" t="s">
        <v>111</v>
      </c>
      <c r="E201" s="241"/>
    </row>
    <row r="202" spans="2:5" ht="36" hidden="1" customHeight="1" outlineLevel="1">
      <c r="B202" s="51"/>
      <c r="C202" s="18" t="s">
        <v>112</v>
      </c>
      <c r="D202" s="200" t="s">
        <v>111</v>
      </c>
      <c r="E202" s="241"/>
    </row>
    <row r="203" spans="2:5" ht="36" hidden="1" customHeight="1" outlineLevel="1">
      <c r="B203" s="203" t="s">
        <v>63</v>
      </c>
      <c r="C203" s="18" t="s">
        <v>82</v>
      </c>
      <c r="D203" s="200"/>
      <c r="E203" s="232" t="str">
        <f>IF($E$12&lt;&gt;"該当","",IF($E$62&lt;&gt;"",$E$62,""))</f>
        <v/>
      </c>
    </row>
    <row r="204" spans="2:5" ht="36" hidden="1" customHeight="1" outlineLevel="1">
      <c r="B204" s="204"/>
      <c r="C204" s="18" t="s">
        <v>107</v>
      </c>
      <c r="D204" s="200" t="s">
        <v>108</v>
      </c>
      <c r="E204" s="241"/>
    </row>
    <row r="205" spans="2:5" ht="36" hidden="1" customHeight="1" outlineLevel="1">
      <c r="B205" s="204"/>
      <c r="C205" s="18" t="s">
        <v>109</v>
      </c>
      <c r="D205" s="200" t="s">
        <v>108</v>
      </c>
      <c r="E205" s="241"/>
    </row>
    <row r="206" spans="2:5" ht="36" hidden="1" customHeight="1" outlineLevel="1">
      <c r="B206" s="204"/>
      <c r="C206" s="18" t="s">
        <v>110</v>
      </c>
      <c r="D206" s="200" t="s">
        <v>111</v>
      </c>
      <c r="E206" s="241"/>
    </row>
    <row r="207" spans="2:5" ht="36" hidden="1" customHeight="1" outlineLevel="1">
      <c r="B207" s="55"/>
      <c r="C207" s="18" t="s">
        <v>112</v>
      </c>
      <c r="D207" s="200" t="s">
        <v>111</v>
      </c>
      <c r="E207" s="241"/>
    </row>
    <row r="208" spans="2:5" ht="36" hidden="1" customHeight="1" outlineLevel="1">
      <c r="B208" s="203" t="s">
        <v>64</v>
      </c>
      <c r="C208" s="18" t="s">
        <v>82</v>
      </c>
      <c r="D208" s="200"/>
      <c r="E208" s="232" t="str">
        <f>IF($E$12&lt;&gt;"該当","",IF($E$65&lt;&gt;"",$E$65,""))</f>
        <v/>
      </c>
    </row>
    <row r="209" spans="1:7" ht="36" hidden="1" customHeight="1" outlineLevel="1">
      <c r="B209" s="54"/>
      <c r="C209" s="18" t="s">
        <v>107</v>
      </c>
      <c r="D209" s="200" t="s">
        <v>108</v>
      </c>
      <c r="E209" s="241"/>
    </row>
    <row r="210" spans="1:7" ht="36" hidden="1" customHeight="1" outlineLevel="1">
      <c r="B210" s="204"/>
      <c r="C210" s="18" t="s">
        <v>109</v>
      </c>
      <c r="D210" s="200" t="s">
        <v>108</v>
      </c>
      <c r="E210" s="241"/>
    </row>
    <row r="211" spans="1:7" ht="36" hidden="1" customHeight="1" outlineLevel="1">
      <c r="B211" s="204"/>
      <c r="C211" s="18" t="s">
        <v>110</v>
      </c>
      <c r="D211" s="200" t="s">
        <v>111</v>
      </c>
      <c r="E211" s="241"/>
    </row>
    <row r="212" spans="1:7" ht="36" hidden="1" customHeight="1" outlineLevel="1">
      <c r="B212" s="51"/>
      <c r="C212" s="18" t="s">
        <v>112</v>
      </c>
      <c r="D212" s="200" t="s">
        <v>111</v>
      </c>
      <c r="E212" s="241"/>
    </row>
    <row r="213" spans="1:7" ht="36" hidden="1" customHeight="1" outlineLevel="1">
      <c r="B213" s="203" t="s">
        <v>65</v>
      </c>
      <c r="C213" s="18" t="s">
        <v>82</v>
      </c>
      <c r="D213" s="200"/>
      <c r="E213" s="232" t="str">
        <f>IF($E$12&lt;&gt;"該当","",IF($E$68&lt;&gt;"",$E$68,""))</f>
        <v/>
      </c>
    </row>
    <row r="214" spans="1:7" ht="36" hidden="1" customHeight="1" outlineLevel="1">
      <c r="B214" s="204"/>
      <c r="C214" s="18" t="s">
        <v>107</v>
      </c>
      <c r="D214" s="200" t="s">
        <v>108</v>
      </c>
      <c r="E214" s="241"/>
    </row>
    <row r="215" spans="1:7" ht="36" hidden="1" customHeight="1" outlineLevel="1">
      <c r="B215" s="204"/>
      <c r="C215" s="18" t="s">
        <v>109</v>
      </c>
      <c r="D215" s="200" t="s">
        <v>108</v>
      </c>
      <c r="E215" s="241"/>
    </row>
    <row r="216" spans="1:7" ht="36" hidden="1" customHeight="1" outlineLevel="1">
      <c r="B216" s="204"/>
      <c r="C216" s="18" t="s">
        <v>110</v>
      </c>
      <c r="D216" s="200" t="s">
        <v>111</v>
      </c>
      <c r="E216" s="241"/>
    </row>
    <row r="217" spans="1:7" ht="36" hidden="1" customHeight="1" outlineLevel="1">
      <c r="B217" s="51"/>
      <c r="C217" s="18" t="s">
        <v>112</v>
      </c>
      <c r="D217" s="200" t="s">
        <v>111</v>
      </c>
      <c r="E217" s="241"/>
    </row>
    <row r="218" spans="1:7" ht="18" customHeight="1" collapsed="1">
      <c r="B218" s="6"/>
      <c r="C218" s="6"/>
      <c r="D218" s="2"/>
      <c r="E218" s="6"/>
    </row>
    <row r="219" spans="1:7" ht="20.100000000000001">
      <c r="B219" s="17" t="s">
        <v>113</v>
      </c>
      <c r="C219" s="1"/>
      <c r="D219" s="3"/>
      <c r="E219" s="6"/>
      <c r="F219" s="6"/>
      <c r="G219" s="1"/>
    </row>
    <row r="220" spans="1:7">
      <c r="B220" s="60" t="s">
        <v>114</v>
      </c>
      <c r="C220" s="1"/>
      <c r="D220" s="3"/>
      <c r="E220" s="1"/>
      <c r="F220" s="1"/>
      <c r="G220" s="1"/>
    </row>
    <row r="221" spans="1:7">
      <c r="B221" s="139" t="s">
        <v>115</v>
      </c>
      <c r="C221" s="140"/>
      <c r="D221" s="141" t="s">
        <v>116</v>
      </c>
      <c r="E221" s="142" t="s">
        <v>117</v>
      </c>
      <c r="F221" s="176" t="s">
        <v>118</v>
      </c>
      <c r="G221" s="1"/>
    </row>
    <row r="222" spans="1:7">
      <c r="A222" s="176">
        <f>MAX($A$221:A221)+1</f>
        <v>1</v>
      </c>
      <c r="B222" s="14" t="str">
        <f>TEXT(A222,"00")&amp;"_事業名"</f>
        <v>01_事業名</v>
      </c>
      <c r="C222" s="108"/>
      <c r="D222" s="53" t="s">
        <v>23</v>
      </c>
      <c r="E222" s="143" t="str">
        <f>IFERROR(IF(E6="","入力してください"," "),$F$221)</f>
        <v>入力してください</v>
      </c>
      <c r="G222" s="1"/>
    </row>
    <row r="223" spans="1:7" ht="36" customHeight="1">
      <c r="A223" s="176">
        <f>MAX($A$221:A222)+1</f>
        <v>2</v>
      </c>
      <c r="B223" s="14" t="str">
        <f>TEXT(A223,"00")&amp;"_1次・2次公募の採択"</f>
        <v>02_1次・2次公募の採択</v>
      </c>
      <c r="C223" s="108"/>
      <c r="D223" s="151" t="s">
        <v>119</v>
      </c>
      <c r="E223" s="143" t="str">
        <f>IFERROR(IF(AND(E8&lt;&gt;"該当（みなし同一法人あり）",E8&lt;&gt;"該当（みなし同一法人なし）",E8&lt;&gt;"非該当"),"該当（みなし同一法人あり）・該当（みなし同一法人なし）・非該当のいずれかを選択してください"," "),$F$221)</f>
        <v>該当（みなし同一法人あり）・該当（みなし同一法人なし）・非該当のいずれかを選択してください</v>
      </c>
      <c r="G223" s="1"/>
    </row>
    <row r="224" spans="1:7">
      <c r="A224" s="176">
        <f>MAX($A$221:A223)+1</f>
        <v>3</v>
      </c>
      <c r="B224" s="14" t="str">
        <f>TEXT(A224,"00")&amp;"_補助率"</f>
        <v>03_補助率</v>
      </c>
      <c r="C224" s="108"/>
      <c r="D224" s="53" t="s">
        <v>120</v>
      </c>
      <c r="E224" s="143" t="str">
        <f>IFERROR(IF(AND(E10&lt;&gt;"1/4補助率を許容する",E10&lt;&gt;"1/4補助率を許容しない"),"1/4補助率を許容する・1/4補助率を許容しないのいずれかを選択してください"," "),$F$221)</f>
        <v>1/4補助率を許容する・1/4補助率を許容しないのいずれかを選択してください</v>
      </c>
      <c r="G224" s="1"/>
    </row>
    <row r="225" spans="1:7">
      <c r="A225" s="176">
        <f>MAX($A$221:A224)+1</f>
        <v>4</v>
      </c>
      <c r="B225" s="14" t="str">
        <f>TEXT(A225,"00")&amp;"_中小企業から中堅企業への移行の宣誓"</f>
        <v>04_中小企業から中堅企業への移行の宣誓</v>
      </c>
      <c r="C225" s="108"/>
      <c r="D225" s="53" t="s">
        <v>121</v>
      </c>
      <c r="E225" s="143" t="str">
        <f>IFERROR(IF(AND(E12&lt;&gt;"該当",E12&lt;&gt;"非該当"),"該当・非該当のいずれかを選択してください"," "),$F$221)</f>
        <v>該当・非該当のいずれかを選択してください</v>
      </c>
      <c r="G225" s="1"/>
    </row>
    <row r="226" spans="1:7">
      <c r="A226" s="176">
        <f>MAX($A$221:A225)+1</f>
        <v>5</v>
      </c>
      <c r="B226" s="14" t="str">
        <f>TEXT(A226,"00")&amp;"_補助金の併願"</f>
        <v>05_補助金の併願</v>
      </c>
      <c r="C226" s="108"/>
      <c r="D226" s="53" t="s">
        <v>121</v>
      </c>
      <c r="E226" s="143" t="str">
        <f>IFERROR(IF(AND(E14&lt;&gt;"該当",E14&lt;&gt;"非該当"),"該当・非該当のいずれかを選択してください"," "),$F$221)</f>
        <v>該当・非該当のいずれかを選択してください</v>
      </c>
      <c r="G226" s="1"/>
    </row>
    <row r="227" spans="1:7">
      <c r="A227" s="176">
        <f>MAX($A$221:A226)+1</f>
        <v>6</v>
      </c>
      <c r="B227" s="14" t="str">
        <f>TEXT(A227,"00")&amp;"_提出日"</f>
        <v>06_提出日</v>
      </c>
      <c r="C227" s="108"/>
      <c r="D227" s="53" t="s">
        <v>122</v>
      </c>
      <c r="E227" s="143" t="str">
        <f>IFERROR(IF(E15="","入力してください",IF(OR(ISERROR(VALUE(E15)),E15&lt;DATEVALUE("2025/7/7")),"正しい日付を入力してください"," ")),$F$221)</f>
        <v>入力してください</v>
      </c>
      <c r="G227" s="1"/>
    </row>
    <row r="228" spans="1:7">
      <c r="A228" s="176">
        <f>MAX($A$221:A227)+1</f>
        <v>7</v>
      </c>
      <c r="B228" s="14" t="str">
        <f>TEXT(A228,"00")&amp;"_法人番号（インボイス登録番号）"</f>
        <v>07_法人番号（インボイス登録番号）</v>
      </c>
      <c r="C228" s="108"/>
      <c r="D228" s="53" t="s">
        <v>123</v>
      </c>
      <c r="E228" s="143" t="str">
        <f>IFERROR(IF(E16="","入力してください",IF(OR(AND(LEN(E16)=LENB(E16),LEFTB(E16,1)&lt;&gt;"-",LEFTB(E16,1)&lt;&gt;" ",LENB(E16)=13,ISNUMBER(VALUE(E16))),AND(LEN(E16)=LENB(E16),LEFTB(E16,1)="T",MIDB(E16,2,1)&lt;&gt;" ",MIDB(E16,2,1)&lt;&gt;"-",LENB(E16)=14,ISNUMBER(VALUE(MIDB(E16,2,13)))))," ","13桁の半角数字(インボイス登録番号の場合はT+13桁の数字(何れも半角))で入力してください")),$F$221)</f>
        <v>入力してください</v>
      </c>
      <c r="G228" s="1"/>
    </row>
    <row r="229" spans="1:7">
      <c r="A229" s="176">
        <f>MAX($A$221:A228)+1</f>
        <v>8</v>
      </c>
      <c r="B229" s="14" t="str">
        <f>TEXT(A229,"00")&amp;"_事業者名（企業名）"</f>
        <v>08_事業者名（企業名）</v>
      </c>
      <c r="C229" s="108"/>
      <c r="D229" s="53" t="s">
        <v>23</v>
      </c>
      <c r="E229" s="143" t="str">
        <f t="shared" ref="E229:E234" si="0">IFERROR(IF(E17="","入力してください"," "),$F$221)</f>
        <v>入力してください</v>
      </c>
      <c r="G229" s="1"/>
    </row>
    <row r="230" spans="1:7">
      <c r="A230" s="176">
        <f>MAX($A$221:A229)+1</f>
        <v>9</v>
      </c>
      <c r="B230" s="14" t="str">
        <f>TEXT(A230,"00")&amp;"_本社所在地（都道府県）"</f>
        <v>09_本社所在地（都道府県）</v>
      </c>
      <c r="C230" s="108"/>
      <c r="D230" s="53" t="s">
        <v>124</v>
      </c>
      <c r="E230" s="143" t="str">
        <f t="shared" si="0"/>
        <v>入力してください</v>
      </c>
      <c r="G230" s="1"/>
    </row>
    <row r="231" spans="1:7">
      <c r="A231" s="176">
        <f>MAX($A$221:A230)+1</f>
        <v>10</v>
      </c>
      <c r="B231" s="14" t="str">
        <f>TEXT(A231,"00")&amp;"_代表者名"</f>
        <v>10_代表者名</v>
      </c>
      <c r="C231" s="108"/>
      <c r="D231" s="53" t="s">
        <v>23</v>
      </c>
      <c r="E231" s="143" t="str">
        <f t="shared" si="0"/>
        <v>入力してください</v>
      </c>
      <c r="G231" s="1"/>
    </row>
    <row r="232" spans="1:7">
      <c r="A232" s="176">
        <f>MAX($A$221:A231)+1</f>
        <v>11</v>
      </c>
      <c r="B232" s="144" t="str">
        <f>TEXT(A232,"00")&amp;"_代表者役職"</f>
        <v>11_代表者役職</v>
      </c>
      <c r="C232" s="145"/>
      <c r="D232" s="146" t="s">
        <v>23</v>
      </c>
      <c r="E232" s="147" t="str">
        <f t="shared" si="0"/>
        <v>入力してください</v>
      </c>
      <c r="G232" s="1"/>
    </row>
    <row r="233" spans="1:7">
      <c r="A233" s="176">
        <f>MAX($A$221:A232)+1</f>
        <v>12</v>
      </c>
      <c r="B233" s="148" t="str">
        <f>TEXT(A233,"00")&amp;"_担当者1_担当者名（ふりがな）"</f>
        <v>12_担当者1_担当者名（ふりがな）</v>
      </c>
      <c r="C233" s="149"/>
      <c r="D233" s="55" t="s">
        <v>125</v>
      </c>
      <c r="E233" s="150" t="str">
        <f t="shared" si="0"/>
        <v>入力してください</v>
      </c>
      <c r="G233" s="1"/>
    </row>
    <row r="234" spans="1:7">
      <c r="A234" s="176">
        <f>MAX($A$221:A233)+1</f>
        <v>13</v>
      </c>
      <c r="B234" s="14" t="str">
        <f>TEXT(A234,"00")&amp;"_担当者1_担当者名"</f>
        <v>13_担当者1_担当者名</v>
      </c>
      <c r="C234" s="108"/>
      <c r="D234" s="53" t="s">
        <v>23</v>
      </c>
      <c r="E234" s="143" t="str">
        <f t="shared" si="0"/>
        <v>入力してください</v>
      </c>
      <c r="G234" s="1"/>
    </row>
    <row r="235" spans="1:7">
      <c r="A235" s="176">
        <f>MAX($A$221:A234)+1</f>
        <v>14</v>
      </c>
      <c r="B235" s="14" t="str">
        <f>TEXT(A235,"00")&amp;"_担当者1_電話番号（代表）"</f>
        <v>14_担当者1_電話番号（代表）</v>
      </c>
      <c r="C235" s="108"/>
      <c r="D235" s="53" t="s">
        <v>126</v>
      </c>
      <c r="E235" s="143" t="str">
        <f>IFERROR(IF(E25="","入力してください",IF(OR(LEN(E25)&lt;&gt;LENB(E25),COUNTIF(E25,"-*"),AND(LENB(E25)&lt;&gt;10,LENB(E25)&lt;&gt;11),ISNUMBER(VALUE(E25))=FALSE),"スペースやハイフンを除き10桁もしくは11桁の半角数字で入力してください"," ")),$F$221)</f>
        <v>入力してください</v>
      </c>
      <c r="G235" s="1"/>
    </row>
    <row r="236" spans="1:7">
      <c r="A236" s="176">
        <f>MAX($A$221:A235)+1</f>
        <v>15</v>
      </c>
      <c r="B236" s="14" t="str">
        <f>TEXT(A236,"00")&amp;"_担当者1_電話番号（直通）"</f>
        <v>15_担当者1_電話番号（直通）</v>
      </c>
      <c r="C236" s="108"/>
      <c r="D236" s="53" t="s">
        <v>127</v>
      </c>
      <c r="E236" s="143" t="str">
        <f>IFERROR(IF(E26=""," ",IF(OR(LEN(E26)&lt;&gt;LENB(E26),COUNTIF(E26,"-*"),AND(LENB(E26)&lt;&gt;10,LENB(E26)&lt;&gt;11),ISNUMBER(VALUE(E26))=FALSE),"スペースやハイフンを除き10桁もしくは11桁の半角数字で入力してください"," ")),$F$221)</f>
        <v xml:space="preserve"> </v>
      </c>
      <c r="G236" s="1"/>
    </row>
    <row r="237" spans="1:7">
      <c r="A237" s="176">
        <f>MAX($A$221:A236)+1</f>
        <v>16</v>
      </c>
      <c r="B237" s="14" t="str">
        <f>TEXT(A237,"00")&amp;"_担当者1_電話番号（携帯）"</f>
        <v>16_担当者1_電話番号（携帯）</v>
      </c>
      <c r="C237" s="108"/>
      <c r="D237" s="53" t="s">
        <v>128</v>
      </c>
      <c r="E237" s="143" t="str">
        <f>IFERROR(IF(E27=""," ",IF(OR(LEN(E27)&lt;&gt;LENB(E27),COUNTIF(E27,"-*"),LENB(E27)&lt;&gt;11,ISNUMBER(VALUE(E27))=FALSE),"スペースやハイフンを除き11桁の半角数字で入力してください"," ")),$F$221)</f>
        <v xml:space="preserve"> </v>
      </c>
      <c r="G237" s="1"/>
    </row>
    <row r="238" spans="1:7">
      <c r="A238" s="176">
        <f>MAX($A$221:A237)+1</f>
        <v>17</v>
      </c>
      <c r="B238" s="144" t="str">
        <f>TEXT(A238,"00")&amp;"_担当者1_e-mail"</f>
        <v>17_担当者1_e-mail</v>
      </c>
      <c r="C238" s="145"/>
      <c r="D238" s="146" t="s">
        <v>129</v>
      </c>
      <c r="E238" s="147" t="str">
        <f>IFERROR(IF(E28="","入力してください",IF(AND(LEN(E28)-LEN(SUBSTITUTE(E28, "@", ""))=1,ISNUMBER(FIND(".", E28)),EXACT(E28,TRIM(E28)),LEFT(E28, 1)&lt;&gt;".",LEFT(E28, 1)&lt;&gt;"@",RIGHT(E28, 1)&lt;&gt;".",RIGHT(E28, 1)&lt;&gt;"@",LEN(E28)=LENB(E28))," ","正しい形式かつ半角で入力してください")),$F$221)</f>
        <v>入力してください</v>
      </c>
      <c r="G238" s="1"/>
    </row>
    <row r="239" spans="1:7">
      <c r="A239" s="176">
        <f>MAX($A$221:A238)+1</f>
        <v>18</v>
      </c>
      <c r="B239" s="14" t="str">
        <f>TEXT(A239,"00")&amp;"_担当者2_担当者名（ふりがな）"</f>
        <v>18_担当者2_担当者名（ふりがな）</v>
      </c>
      <c r="C239" s="108"/>
      <c r="D239" s="53" t="s">
        <v>130</v>
      </c>
      <c r="E239" s="143" t="str">
        <f>IFERROR(IF(AND(E30&lt;&gt;"",E29=""),"入力してください"," "),$F$221)</f>
        <v xml:space="preserve"> </v>
      </c>
      <c r="G239" s="1"/>
    </row>
    <row r="240" spans="1:7">
      <c r="A240" s="176">
        <f>MAX($A$221:A239)+1</f>
        <v>19</v>
      </c>
      <c r="B240" s="14" t="str">
        <f>TEXT(A240,"00")&amp;"_担当者2_担当者名"</f>
        <v>19_担当者2_担当者名</v>
      </c>
      <c r="C240" s="108"/>
      <c r="D240" s="53" t="s">
        <v>131</v>
      </c>
      <c r="E240" s="143" t="str">
        <f>IFERROR(IF(AND(E30="",OR(E29&lt;&gt;"",E31&lt;&gt;"",E32&lt;&gt;"",E33&lt;&gt;"",E34&lt;&gt;"",E35&lt;&gt;"",E36&lt;&gt;"")),"担当者2の情報を入力する場合は、入力してください"," "),$F$221)</f>
        <v xml:space="preserve"> </v>
      </c>
      <c r="G240" s="1"/>
    </row>
    <row r="241" spans="1:7" ht="36">
      <c r="A241" s="176">
        <f>MAX($A$221:A240)+1</f>
        <v>20</v>
      </c>
      <c r="B241" s="14" t="str">
        <f>TEXT(A241,"00")&amp;"_担当者2_電話番号（代表）"</f>
        <v>20_担当者2_電話番号（代表）</v>
      </c>
      <c r="C241" s="108"/>
      <c r="D241" s="151" t="s">
        <v>132</v>
      </c>
      <c r="E241" s="143" t="str">
        <f>IFERROR(IF(AND(E30&lt;&gt;"",E33=""),"入力してください",IF(E33=""," ",IF(OR(LEN(E33)&lt;&gt;LENB(E33),COUNTIF(E33,"-*"),AND(LENB(E33)&lt;&gt;10,LENB(E33)&lt;&gt;11),ISNUMBER(VALUE(E33))=FALSE),"スペースやハイフンを除き10桁もしくは11桁の半角数字で入力してください"," "))),$F$221)</f>
        <v xml:space="preserve"> </v>
      </c>
      <c r="G241" s="1"/>
    </row>
    <row r="242" spans="1:7">
      <c r="A242" s="176">
        <f>MAX($A$221:A241)+1</f>
        <v>21</v>
      </c>
      <c r="B242" s="14" t="str">
        <f>TEXT(A242,"00")&amp;"_担当者2_電話番号（直通）"</f>
        <v>21_担当者2_電話番号（直通）</v>
      </c>
      <c r="C242" s="108"/>
      <c r="D242" s="53" t="s">
        <v>127</v>
      </c>
      <c r="E242" s="143" t="str">
        <f>IFERROR(IF(E34=""," ",IF(OR(LEN(E34)&lt;&gt;LENB(E34),COUNTIF(E34,"-*"),AND(LENB(E34)&lt;&gt;10,LENB(E34)&lt;&gt;11),ISNUMBER(VALUE(E34))=FALSE),"スペースやハイフンを除き10桁もしくは11桁の半角数字で入力してください"," ")),$F$221)</f>
        <v xml:space="preserve"> </v>
      </c>
      <c r="G242" s="1"/>
    </row>
    <row r="243" spans="1:7">
      <c r="A243" s="176">
        <f>MAX($A$221:A242)+1</f>
        <v>22</v>
      </c>
      <c r="B243" s="14" t="str">
        <f>TEXT(A243,"00")&amp;"_担当者2_電話番号（携帯）"</f>
        <v>22_担当者2_電話番号（携帯）</v>
      </c>
      <c r="C243" s="108"/>
      <c r="D243" s="53" t="s">
        <v>128</v>
      </c>
      <c r="E243" s="143" t="str">
        <f>IFERROR(IF(E35=""," ",IF(OR(LEN(E35)&lt;&gt;LENB(E35),COUNTIF(E35,"-*"),LENB(E35)&lt;&gt;11,ISNUMBER(VALUE(E35))=FALSE),"スペースやハイフンを除き11桁の半角数字で入力してください"," ")),$F$221)</f>
        <v xml:space="preserve"> </v>
      </c>
      <c r="G243" s="1"/>
    </row>
    <row r="244" spans="1:7" ht="36">
      <c r="A244" s="176">
        <f>MAX($A$221:A243)+1</f>
        <v>23</v>
      </c>
      <c r="B244" s="153" t="str">
        <f>TEXT(A244,"00")&amp;"_担当者2_e-mail"</f>
        <v>23_担当者2_e-mail</v>
      </c>
      <c r="C244" s="154"/>
      <c r="D244" s="128" t="s">
        <v>133</v>
      </c>
      <c r="E244" s="155" t="str">
        <f>IFERROR(IF(AND(E30&lt;&gt;"",E36=""),"入力してください",IF(E36=""," ",IF(AND(LEN(E36)-LEN(SUBSTITUTE(E36, "@", ""))=1,ISNUMBER(FIND(".", E36)),EXACT(E36,TRIM(E36)),LEFT(E36, 1)&lt;&gt;".",LEFT(E36, 1)&lt;&gt;"@",RIGHT(E36, 1)&lt;&gt;".",RIGHT(E36, 1)&lt;&gt;"@",LEN(E36)=LENB(E36))," ","正しい形式かつ半角で入力してください"))),$F$221)</f>
        <v xml:space="preserve"> </v>
      </c>
      <c r="G244" s="1"/>
    </row>
    <row r="245" spans="1:7" ht="36">
      <c r="A245" s="176">
        <f>MAX($A$221:A244)+1</f>
        <v>24</v>
      </c>
      <c r="B245" s="14" t="str">
        <f>TEXT(A245,"00")&amp;"_コンソーシアムによる共同申請"</f>
        <v>24_コンソーシアムによる共同申請</v>
      </c>
      <c r="C245" s="108"/>
      <c r="D245" s="151" t="s">
        <v>134</v>
      </c>
      <c r="E245" s="143" t="str">
        <f>IFERROR(IF(AND(E37&lt;&gt;"該当",E37&lt;&gt;"非該当"),"該当・非該当のいずれかを選択してください",IF(AND(E37="該当",COUNTA(E43:E69)=0),"申請者番号、申請者名を記載してください"," ")),$F$221)</f>
        <v>該当・非該当のいずれかを選択してください</v>
      </c>
      <c r="G245" s="1"/>
    </row>
    <row r="246" spans="1:7" ht="36">
      <c r="A246" s="176">
        <f>MAX($A$221:A245)+1</f>
        <v>25</v>
      </c>
      <c r="B246" s="14" t="str">
        <f>TEXT(A246,"00")&amp;"_外部支援事業者の支援"</f>
        <v>25_外部支援事業者の支援</v>
      </c>
      <c r="C246" s="108"/>
      <c r="D246" s="151" t="s">
        <v>135</v>
      </c>
      <c r="E246" s="143" t="str">
        <f>IFERROR(IF(AND(E38&lt;&gt;"該当",E38&lt;&gt;"非該当"),"該当・非該当のいずれかを選択してください",IF(AND(E38="該当",COUNTA(E134:E153)=0),"外部支援事業者名、支援期間を記載してください"," ")),$F$221)</f>
        <v>該当・非該当のいずれかを選択してください</v>
      </c>
      <c r="G246" s="1"/>
    </row>
    <row r="247" spans="1:7" ht="36">
      <c r="A247" s="176">
        <f>MAX($A$221:A246)+1</f>
        <v>26</v>
      </c>
      <c r="B247" s="14" t="str">
        <f>TEXT(A247,"00")&amp;"_金融機関の確認書の発行"</f>
        <v>26_金融機関の確認書の発行</v>
      </c>
      <c r="C247" s="108"/>
      <c r="D247" s="151" t="s">
        <v>136</v>
      </c>
      <c r="E247" s="143" t="str">
        <f>IFERROR(IF(AND(E39&lt;&gt;"該当",E39&lt;&gt;"非該当"),"該当・非該当のいずれかを選択してください",IF(AND(E39="該当",COUNTA(E156:E165)=0),"金融機関名を記載してください"," ")),$F$221)</f>
        <v>該当・非該当のいずれかを選択してください</v>
      </c>
      <c r="G247" s="1"/>
    </row>
    <row r="248" spans="1:7">
      <c r="A248" s="176">
        <f>MAX($A$221:A247)+1</f>
        <v>27</v>
      </c>
      <c r="B248" s="14" t="str">
        <f>TEXT(A248,"00")&amp;"_役員報酬の公表"</f>
        <v>27_役員報酬の公表</v>
      </c>
      <c r="C248" s="127"/>
      <c r="D248" s="151" t="s">
        <v>137</v>
      </c>
      <c r="E248" s="143" t="str">
        <f>IFERROR(IF(AND(E40&lt;&gt;"公表",E40&lt;&gt;"非公表"),"公表・非公表のいずれかを選択してください"," "),$F$221)</f>
        <v>公表・非公表のいずれかを選択してください</v>
      </c>
      <c r="G248" s="1"/>
    </row>
    <row r="249" spans="1:7">
      <c r="A249" s="176"/>
      <c r="B249" s="126" t="s">
        <v>138</v>
      </c>
      <c r="C249" s="127"/>
      <c r="D249" s="127"/>
      <c r="E249" s="152" t="s">
        <v>139</v>
      </c>
    </row>
    <row r="250" spans="1:7" ht="36">
      <c r="A250" s="176">
        <f>MAX($A$221:A249)+1</f>
        <v>28</v>
      </c>
      <c r="B250" s="14" t="str">
        <f>TEXT(A250,"00")&amp;"_事業者2_法人番号（インボイス登録番号）"</f>
        <v>28_事業者2_法人番号（インボイス登録番号）</v>
      </c>
      <c r="C250" s="108"/>
      <c r="D250" s="151" t="s">
        <v>140</v>
      </c>
      <c r="E250" s="143" t="str">
        <f>IFERROR(IF(AND(E44&lt;&gt;"",E43=""),"入力する場合、法人番号と申請者名を共に入力してください",IF(E43=""," ",IF(OR(AND(LEN(E43)=LENB(E43),LEFTB(E43,1)&lt;&gt;"-",LEFTB(E43,1)&lt;&gt;" ",LENB(E43)=13,ISNUMBER(VALUE(E43))),AND(LEN(E43)=LENB(E43),LEFTB(E43,1)="T",MIDB(E43,2,1)&lt;&gt;" ",MIDB(E43,2,1)&lt;&gt;"-",LENB(E43)=14,ISNUMBER(VALUE(MIDB(E43,2,13)))))," ","13桁の半角数字(インボイス登録番号の場合はT+13桁の数字(何れも半角))で入力してください"))),$F$221)</f>
        <v xml:space="preserve"> </v>
      </c>
      <c r="G250" s="1"/>
    </row>
    <row r="251" spans="1:7">
      <c r="A251" s="176">
        <f>MAX($A$221:A250)+1</f>
        <v>29</v>
      </c>
      <c r="B251" s="14" t="str">
        <f>TEXT(A251,"00")&amp;"_事業者2_事業者名（企業名）"</f>
        <v>29_事業者2_事業者名（企業名）</v>
      </c>
      <c r="C251" s="108"/>
      <c r="D251" s="53" t="s">
        <v>141</v>
      </c>
      <c r="E251" s="143" t="str">
        <f>IFERROR(IF(AND(E43&lt;&gt;"",E44=""),"入力する場合、法人番号と申請者名を共に入力してください"," "),$F$221)</f>
        <v xml:space="preserve"> </v>
      </c>
      <c r="G251" s="1"/>
    </row>
    <row r="252" spans="1:7">
      <c r="A252" s="176">
        <f>MAX($A$221:A251)+1</f>
        <v>30</v>
      </c>
      <c r="B252" s="153" t="str">
        <f>TEXT(A252,"00")&amp;"_事業者2_リース会社に該当する場合"</f>
        <v>30_事業者2_リース会社に該当する場合</v>
      </c>
      <c r="C252" s="154"/>
      <c r="D252" s="52" t="s">
        <v>142</v>
      </c>
      <c r="E252" s="155" t="str">
        <f>IFERROR(IF(AND(E45&lt;&gt;"",E45&lt;&gt;"●"),"入力する場合、●を入力してください"," "),$F$221)</f>
        <v xml:space="preserve"> </v>
      </c>
      <c r="G252" s="1"/>
    </row>
    <row r="253" spans="1:7" ht="36">
      <c r="A253" s="176">
        <f>MAX($A$221:A252)+1</f>
        <v>31</v>
      </c>
      <c r="B253" s="156" t="str">
        <f>TEXT(A253,"00")&amp;"_事業者3_法人番号（インボイス登録番号）"</f>
        <v>31_事業者3_法人番号（インボイス登録番号）</v>
      </c>
      <c r="C253" s="157"/>
      <c r="D253" s="158" t="s">
        <v>143</v>
      </c>
      <c r="E253" s="159" t="str">
        <f>IFERROR(IF(AND(E47&lt;&gt;"",E46=""),"入力する場合、法人番号と申請者名を共に入力してください",IF(E46=""," ",IF(OR(AND(LEN(E46)=LENB(E46),LEFTB(E46,1)&lt;&gt;"-",LEFTB(E46,1)&lt;&gt;" ",LENB(E46)=13,ISNUMBER(VALUE(E46))),AND(LEN(E46)=LENB(E46),LEFTB(E46,1)="T",MIDB(E46,2,1)&lt;&gt;" ",MIDB(E46,2,1)&lt;&gt;"-",LENB(E46)=14,ISNUMBER(VALUE(MIDB(E46,2,13)))))," ","13桁の半角数字(インボイス登録番号の場合はT+13桁の数字(何れも半角))で入力してください"))),$F$221)</f>
        <v xml:space="preserve"> </v>
      </c>
      <c r="G253" s="1"/>
    </row>
    <row r="254" spans="1:7">
      <c r="A254" s="176">
        <f>MAX($A$221:A253)+1</f>
        <v>32</v>
      </c>
      <c r="B254" s="14" t="str">
        <f>TEXT(A254,"00")&amp;"_事業者3_事業者名（企業名）"</f>
        <v>32_事業者3_事業者名（企業名）</v>
      </c>
      <c r="C254" s="108"/>
      <c r="D254" s="53" t="s">
        <v>144</v>
      </c>
      <c r="E254" s="143" t="str">
        <f>IFERROR(IF(AND(E46&lt;&gt;"",E47=""),"入力する場合、法人番号と申請者名を共に入力してください"," "),$F$221)</f>
        <v xml:space="preserve"> </v>
      </c>
      <c r="G254" s="1"/>
    </row>
    <row r="255" spans="1:7">
      <c r="A255" s="176">
        <f>MAX($A$221:A254)+1</f>
        <v>33</v>
      </c>
      <c r="B255" s="144" t="str">
        <f>TEXT(A255,"00")&amp;"_事業者3_リース会社に該当する場合"</f>
        <v>33_事業者3_リース会社に該当する場合</v>
      </c>
      <c r="C255" s="145"/>
      <c r="D255" s="146" t="s">
        <v>142</v>
      </c>
      <c r="E255" s="147" t="str">
        <f>IFERROR(IF(AND(E48&lt;&gt;"",E48&lt;&gt;"●"),"入力する場合、●を入力してください"," "),$F$221)</f>
        <v xml:space="preserve"> </v>
      </c>
      <c r="G255" s="1"/>
    </row>
    <row r="256" spans="1:7" ht="36">
      <c r="A256" s="176">
        <f>MAX($A$221:A255)+1</f>
        <v>34</v>
      </c>
      <c r="B256" s="14" t="str">
        <f>TEXT(A256,"00")&amp;"_事業者4_法人番号（インボイス登録番号）"</f>
        <v>34_事業者4_法人番号（インボイス登録番号）</v>
      </c>
      <c r="C256" s="108"/>
      <c r="D256" s="151" t="s">
        <v>145</v>
      </c>
      <c r="E256" s="143" t="str">
        <f>IFERROR(IF(AND(E50&lt;&gt;"",E49=""),"入力する場合、法人番号と申請者名を共に入力してください",IF(E49=""," ",IF(OR(AND(LEN(E49)=LENB(E49),LEFTB(E49,1)&lt;&gt;"-",LEFTB(E49,1)&lt;&gt;" ",LENB(E49)=13,ISNUMBER(VALUE(E49))),AND(LEN(E49)=LENB(E49),LEFTB(E49,1)="T",MIDB(E49,2,1)&lt;&gt;" ",MIDB(E49,2,1)&lt;&gt;"-",LENB(E49)=14,ISNUMBER(VALUE(MIDB(E49,2,13)))))," ","13桁の半角数字(インボイス登録番号の場合はT+13桁の数字(何れも半角))で入力してください"))),$F$221)</f>
        <v xml:space="preserve"> </v>
      </c>
      <c r="G256" s="1"/>
    </row>
    <row r="257" spans="1:7">
      <c r="A257" s="176">
        <f>MAX($A$221:A256)+1</f>
        <v>35</v>
      </c>
      <c r="B257" s="14" t="str">
        <f>TEXT(A257,"00")&amp;"_事業者4_事業者名（企業名）"</f>
        <v>35_事業者4_事業者名（企業名）</v>
      </c>
      <c r="C257" s="108"/>
      <c r="D257" s="53" t="s">
        <v>146</v>
      </c>
      <c r="E257" s="143" t="str">
        <f>IFERROR(IF(AND(E49&lt;&gt;"",E50=""),"入力する場合、法人番号と申請者名を共に入力してください"," "),$F$221)</f>
        <v xml:space="preserve"> </v>
      </c>
      <c r="G257" s="1"/>
    </row>
    <row r="258" spans="1:7">
      <c r="A258" s="176">
        <f>MAX($A$221:A257)+1</f>
        <v>36</v>
      </c>
      <c r="B258" s="153" t="str">
        <f>TEXT(A258,"00")&amp;"_事業者4_リース会社に該当する場合"</f>
        <v>36_事業者4_リース会社に該当する場合</v>
      </c>
      <c r="C258" s="154"/>
      <c r="D258" s="52" t="s">
        <v>147</v>
      </c>
      <c r="E258" s="155" t="str">
        <f>IFERROR(IF(AND(E51&lt;&gt;"",E51&lt;&gt;"●"),"入力する場合、●を入力してください"," "),$F$221)</f>
        <v xml:space="preserve"> </v>
      </c>
      <c r="G258" s="1"/>
    </row>
    <row r="259" spans="1:7" ht="36">
      <c r="A259" s="176">
        <f>MAX($A$221:A258)+1</f>
        <v>37</v>
      </c>
      <c r="B259" s="156" t="str">
        <f>TEXT(A259,"00")&amp;"_事業者5_法人番号（インボイス登録番号）"</f>
        <v>37_事業者5_法人番号（インボイス登録番号）</v>
      </c>
      <c r="C259" s="157"/>
      <c r="D259" s="158" t="s">
        <v>148</v>
      </c>
      <c r="E259" s="159" t="str">
        <f>IFERROR(IF(AND(E53&lt;&gt;"",E52=""),"入力する場合、法人番号と申請者名を共に入力してください",IF(E52=""," ",IF(OR(AND(LEN(E52)=LENB(E52),LEFTB(E52,1)&lt;&gt;"-",LEFTB(E52,1)&lt;&gt;" ",LENB(E52)=13,ISNUMBER(VALUE(E52))),AND(LEN(E52)=LENB(E52),LEFTB(E52,1)="T",MIDB(E52,2,1)&lt;&gt;" ",MIDB(E52,2,1)&lt;&gt;"-",LENB(E52)=14,ISNUMBER(VALUE(MIDB(E52,2,13)))))," ","13桁の半角数字(インボイス登録番号の場合はT+13桁の数字(何れも半角))で入力してください"))),$F$221)</f>
        <v xml:space="preserve"> </v>
      </c>
      <c r="G259" s="1"/>
    </row>
    <row r="260" spans="1:7">
      <c r="A260" s="176">
        <f>MAX($A$221:A259)+1</f>
        <v>38</v>
      </c>
      <c r="B260" s="14" t="str">
        <f>TEXT(A260,"00")&amp;"_事業者5_事業者名（企業名）"</f>
        <v>38_事業者5_事業者名（企業名）</v>
      </c>
      <c r="C260" s="108"/>
      <c r="D260" s="53" t="s">
        <v>149</v>
      </c>
      <c r="E260" s="143" t="str">
        <f>IFERROR(IF(AND(E52&lt;&gt;"",E53=""),"入力する場合、法人番号と申請者名を共に入力してください"," "),$F$221)</f>
        <v xml:space="preserve"> </v>
      </c>
      <c r="G260" s="1"/>
    </row>
    <row r="261" spans="1:7">
      <c r="A261" s="176">
        <f>MAX($A$221:A260)+1</f>
        <v>39</v>
      </c>
      <c r="B261" s="144" t="str">
        <f>TEXT(A261,"00")&amp;"_事業者5_リース会社に該当する場合"</f>
        <v>39_事業者5_リース会社に該当する場合</v>
      </c>
      <c r="C261" s="145"/>
      <c r="D261" s="146" t="s">
        <v>147</v>
      </c>
      <c r="E261" s="147" t="str">
        <f>IFERROR(IF(AND(E54&lt;&gt;"",E54&lt;&gt;"●"),"入力する場合、●を入力してください"," "),$F$221)</f>
        <v xml:space="preserve"> </v>
      </c>
      <c r="G261" s="1"/>
    </row>
    <row r="262" spans="1:7" ht="36">
      <c r="A262" s="176">
        <f>MAX($A$221:A261)+1</f>
        <v>40</v>
      </c>
      <c r="B262" s="156" t="str">
        <f>TEXT(A262,"00")&amp;"_事業者6_法人番号（インボイス登録番号）"</f>
        <v>40_事業者6_法人番号（インボイス登録番号）</v>
      </c>
      <c r="C262" s="157"/>
      <c r="D262" s="158" t="s">
        <v>150</v>
      </c>
      <c r="E262" s="159" t="str">
        <f>IFERROR(IF(AND(E56&lt;&gt;"",E55=""),"入力する場合、法人番号と申請者名を共に入力してください",IF(E55=""," ",IF(OR(AND(LEN(E55)=LENB(E55),LEFTB(E55,1)&lt;&gt;"-",LEFTB(E55,1)&lt;&gt;" ",LENB(E55)=13,ISNUMBER(VALUE(E55))),AND(LEN(E55)=LENB(E55),LEFTB(E55,1)="T",MIDB(E55,2,1)&lt;&gt;" ",MIDB(E55,2,1)&lt;&gt;"-",LENB(E55)=14,ISNUMBER(VALUE(MIDB(E55,2,13)))))," ","13桁の半角数字(インボイス登録番号の場合はT+13桁の数字(何れも半角))で入力してください"))),$F$221)</f>
        <v xml:space="preserve"> </v>
      </c>
      <c r="G262" s="1"/>
    </row>
    <row r="263" spans="1:7">
      <c r="A263" s="176">
        <f>MAX($A$221:A262)+1</f>
        <v>41</v>
      </c>
      <c r="B263" s="14" t="str">
        <f>TEXT(A263,"00")&amp;"_事業者6_事業者名（企業名）"</f>
        <v>41_事業者6_事業者名（企業名）</v>
      </c>
      <c r="C263" s="108"/>
      <c r="D263" s="53" t="s">
        <v>151</v>
      </c>
      <c r="E263" s="143" t="str">
        <f>IFERROR(IF(AND(E55&lt;&gt;"",E56=""),"入力する場合、法人番号と申請者名を共に入力してください"," "),$F$221)</f>
        <v xml:space="preserve"> </v>
      </c>
      <c r="G263" s="1"/>
    </row>
    <row r="264" spans="1:7">
      <c r="A264" s="176">
        <f>MAX($A$221:A263)+1</f>
        <v>42</v>
      </c>
      <c r="B264" s="144" t="str">
        <f>TEXT(A264,"00")&amp;"_事業者6_リース会社に該当する場合"</f>
        <v>42_事業者6_リース会社に該当する場合</v>
      </c>
      <c r="C264" s="145"/>
      <c r="D264" s="146" t="s">
        <v>147</v>
      </c>
      <c r="E264" s="147" t="str">
        <f>IFERROR(IF(AND(E57&lt;&gt;"",E57&lt;&gt;"●"),"入力する場合、●を入力してください"," "),$F$221)</f>
        <v xml:space="preserve"> </v>
      </c>
      <c r="G264" s="1"/>
    </row>
    <row r="265" spans="1:7" ht="36">
      <c r="A265" s="176">
        <f>MAX($A$221:A264)+1</f>
        <v>43</v>
      </c>
      <c r="B265" s="148" t="str">
        <f>TEXT(A265,"00")&amp;"_事業者7_法人番号（インボイス登録番号）"</f>
        <v>43_事業者7_法人番号（インボイス登録番号）</v>
      </c>
      <c r="C265" s="149"/>
      <c r="D265" s="129" t="s">
        <v>152</v>
      </c>
      <c r="E265" s="150" t="str">
        <f>IFERROR(IF(AND(E59&lt;&gt;"",E58=""),"入力する場合、法人番号と申請者名を共に入力してください",IF(E58=""," ",IF(OR(AND(LEN(E58)=LENB(E58),LEFTB(E58,1)&lt;&gt;"-",LEFTB(E58,1)&lt;&gt;" ",LENB(E58)=13,ISNUMBER(VALUE(E58))),AND(LEN(E58)=LENB(E58),LEFTB(E58,1)="T",MIDB(E58,2,1)&lt;&gt;" ",MIDB(E58,2,1)&lt;&gt;"-",LENB(E58)=14,ISNUMBER(VALUE(MIDB(E58,2,13)))))," ","13桁の半角数字(インボイス登録番号の場合はT+13桁の数字(何れも半角))で入力してください"))),$F$221)</f>
        <v xml:space="preserve"> </v>
      </c>
      <c r="G265" s="1"/>
    </row>
    <row r="266" spans="1:7">
      <c r="A266" s="176">
        <f>MAX($A$221:A265)+1</f>
        <v>44</v>
      </c>
      <c r="B266" s="14" t="str">
        <f>TEXT(A266,"00")&amp;"_事業者7_事業者名（企業名）"</f>
        <v>44_事業者7_事業者名（企業名）</v>
      </c>
      <c r="C266" s="108"/>
      <c r="D266" s="53" t="s">
        <v>153</v>
      </c>
      <c r="E266" s="143" t="str">
        <f>IFERROR(IF(AND(E58&lt;&gt;"",E59=""),"入力する場合、法人番号と申請者名を共に入力してください"," "),$F$221)</f>
        <v xml:space="preserve"> </v>
      </c>
      <c r="G266" s="1"/>
    </row>
    <row r="267" spans="1:7">
      <c r="A267" s="176">
        <f>MAX($A$221:A266)+1</f>
        <v>45</v>
      </c>
      <c r="B267" s="144" t="str">
        <f>TEXT(A267,"00")&amp;"_事業者7_リース会社に該当する場合"</f>
        <v>45_事業者7_リース会社に該当する場合</v>
      </c>
      <c r="C267" s="145"/>
      <c r="D267" s="146" t="s">
        <v>147</v>
      </c>
      <c r="E267" s="147" t="str">
        <f>IFERROR(IF(AND(E60&lt;&gt;"",E60&lt;&gt;"●"),"入力する場合、●を入力してください"," "),$F$221)</f>
        <v xml:space="preserve"> </v>
      </c>
      <c r="G267" s="1"/>
    </row>
    <row r="268" spans="1:7" ht="36">
      <c r="A268" s="176">
        <f>MAX($A$221:A267)+1</f>
        <v>46</v>
      </c>
      <c r="B268" s="156" t="str">
        <f>TEXT(A268,"00")&amp;"_事業者8_法人番号（インボイス登録番号）"</f>
        <v>46_事業者8_法人番号（インボイス登録番号）</v>
      </c>
      <c r="C268" s="157"/>
      <c r="D268" s="158" t="s">
        <v>154</v>
      </c>
      <c r="E268" s="159" t="str">
        <f>IFERROR(IF(AND(E62&lt;&gt;"",E61=""),"入力する場合、法人番号と申請者名を共に入力してください",IF(E61=""," ",IF(OR(AND(LEN(E61)=LENB(E61),LEFTB(E61,1)&lt;&gt;"-",LEFTB(E61,1)&lt;&gt;" ",LENB(E61)=13,ISNUMBER(VALUE(E61))),AND(LEN(E61)=LENB(E61),LEFTB(E61,1)="T",MIDB(E61,2,1)&lt;&gt;" ",MIDB(E61,2,1)&lt;&gt;"-",LENB(E61)=14,ISNUMBER(VALUE(MIDB(E61,2,13)))))," ","13桁の半角数字(インボイス登録番号の場合はT+13桁の数字(何れも半角))で入力してください"))),$F$221)</f>
        <v xml:space="preserve"> </v>
      </c>
      <c r="G268" s="1"/>
    </row>
    <row r="269" spans="1:7">
      <c r="A269" s="176">
        <f>MAX($A$221:A268)+1</f>
        <v>47</v>
      </c>
      <c r="B269" s="14" t="str">
        <f>TEXT(A269,"00")&amp;"_事業者8_事業者名（企業名）"</f>
        <v>47_事業者8_事業者名（企業名）</v>
      </c>
      <c r="C269" s="108"/>
      <c r="D269" s="53" t="s">
        <v>155</v>
      </c>
      <c r="E269" s="143" t="str">
        <f>IFERROR(IF(AND(E61&lt;&gt;"",E62=""),"入力する場合、法人番号と申請者名を共に入力してください"," "),$F$221)</f>
        <v xml:space="preserve"> </v>
      </c>
      <c r="G269" s="1"/>
    </row>
    <row r="270" spans="1:7">
      <c r="A270" s="176">
        <f>MAX($A$221:A269)+1</f>
        <v>48</v>
      </c>
      <c r="B270" s="144" t="str">
        <f>TEXT(A270,"00")&amp;"_事業者8_リース会社に該当する場合"</f>
        <v>48_事業者8_リース会社に該当する場合</v>
      </c>
      <c r="C270" s="145"/>
      <c r="D270" s="146" t="s">
        <v>147</v>
      </c>
      <c r="E270" s="147" t="str">
        <f>IFERROR(IF(AND(E63&lt;&gt;"",E63&lt;&gt;"●"),"入力する場合、●を入力してください"," "),$F$221)</f>
        <v xml:space="preserve"> </v>
      </c>
      <c r="G270" s="1"/>
    </row>
    <row r="271" spans="1:7" ht="36">
      <c r="A271" s="176">
        <f>MAX($A$221:A270)+1</f>
        <v>49</v>
      </c>
      <c r="B271" s="148" t="str">
        <f>TEXT(A271,"00")&amp;"_事業者9_法人番号（インボイス登録番号）"</f>
        <v>49_事業者9_法人番号（インボイス登録番号）</v>
      </c>
      <c r="C271" s="149"/>
      <c r="D271" s="129" t="s">
        <v>156</v>
      </c>
      <c r="E271" s="150" t="str">
        <f>IFERROR(IF(AND(E65&lt;&gt;"",E64=""),"入力する場合、法人番号と申請者名を共に入力してください",IF(E64=""," ",IF(OR(AND(LEN(E64)=LENB(E64),LEFTB(E64,1)&lt;&gt;"-",LEFTB(E64,1)&lt;&gt;" ",LENB(E64)=13,ISNUMBER(VALUE(E64))),AND(LEN(E64)=LENB(E64),LEFTB(E64,1)="T",MIDB(E64,2,1)&lt;&gt;" ",MIDB(E64,2,1)&lt;&gt;"-",LENB(E64)=14,ISNUMBER(VALUE(MIDB(E64,2,13)))))," ","13桁の半角数字(インボイス登録番号の場合はT+13桁の数字(何れも半角))で入力してください"))),$F$221)</f>
        <v xml:space="preserve"> </v>
      </c>
      <c r="G271" s="1"/>
    </row>
    <row r="272" spans="1:7">
      <c r="A272" s="176">
        <f>MAX($A$221:A271)+1</f>
        <v>50</v>
      </c>
      <c r="B272" s="14" t="str">
        <f>TEXT(A272,"00")&amp;"_事業者9_事業者名（企業名）"</f>
        <v>50_事業者9_事業者名（企業名）</v>
      </c>
      <c r="C272" s="108"/>
      <c r="D272" s="53" t="s">
        <v>157</v>
      </c>
      <c r="E272" s="143" t="str">
        <f>IFERROR(IF(AND(E64&lt;&gt;"",E65=""),"入力する場合、法人番号と申請者名を共に入力してください"," "),$F$221)</f>
        <v xml:space="preserve"> </v>
      </c>
      <c r="G272" s="1"/>
    </row>
    <row r="273" spans="1:7">
      <c r="A273" s="176">
        <f>MAX($A$221:A272)+1</f>
        <v>51</v>
      </c>
      <c r="B273" s="144" t="str">
        <f>TEXT(A273,"00")&amp;"_事業者9_リース会社に該当する場合"</f>
        <v>51_事業者9_リース会社に該当する場合</v>
      </c>
      <c r="C273" s="145"/>
      <c r="D273" s="146" t="s">
        <v>147</v>
      </c>
      <c r="E273" s="147" t="str">
        <f>IFERROR(IF(AND(E66&lt;&gt;"",E66&lt;&gt;"●"),"入力する場合、●を入力してください"," "),$F$221)</f>
        <v xml:space="preserve"> </v>
      </c>
      <c r="G273" s="1"/>
    </row>
    <row r="274" spans="1:7" ht="36">
      <c r="A274" s="176">
        <f>MAX($A$221:A273)+1</f>
        <v>52</v>
      </c>
      <c r="B274" s="14" t="str">
        <f>TEXT(A274,"00")&amp;"_事業者10_法人番号（インボイス登録番号）"</f>
        <v>52_事業者10_法人番号（インボイス登録番号）</v>
      </c>
      <c r="C274" s="108"/>
      <c r="D274" s="151" t="s">
        <v>158</v>
      </c>
      <c r="E274" s="143" t="str">
        <f>IFERROR(IF(AND(E68&lt;&gt;"",E67=""),"入力する場合、法人番号と申請者名を共に入力してください",IF(E67=""," ",IF(OR(AND(LEN(E67)=LENB(E67),LEFTB(E67,1)&lt;&gt;"-",LEFTB(E67,1)&lt;&gt;" ",LENB(E67)=13,ISNUMBER(VALUE(E67))),AND(LEN(E67)=LENB(E67),LEFTB(E67,1)="T",MIDB(E67,2,1)&lt;&gt;" ",MIDB(E67,2,1)&lt;&gt;"-",LENB(E67)=14,ISNUMBER(VALUE(MIDB(E67,2,13)))))," ","13桁の半角数字(インボイス登録番号の場合はT+13桁の数字(何れも半角))で入力してください"))),$F$221)</f>
        <v xml:space="preserve"> </v>
      </c>
    </row>
    <row r="275" spans="1:7">
      <c r="A275" s="176">
        <f>MAX($A$221:A274)+1</f>
        <v>53</v>
      </c>
      <c r="B275" s="14" t="str">
        <f>TEXT(A275,"00")&amp;"_事業者10_事業者名（企業名）"</f>
        <v>53_事業者10_事業者名（企業名）</v>
      </c>
      <c r="C275" s="108"/>
      <c r="D275" s="53" t="s">
        <v>159</v>
      </c>
      <c r="E275" s="143" t="str">
        <f>IFERROR(IF(AND(E67&lt;&gt;"",E68=""),"入力する場合、法人番号と申請者名を共に入力してください"," "),$F$221)</f>
        <v xml:space="preserve"> </v>
      </c>
    </row>
    <row r="276" spans="1:7">
      <c r="A276" s="176">
        <f>MAX($A$221:A275)+1</f>
        <v>54</v>
      </c>
      <c r="B276" s="14" t="str">
        <f>TEXT(A276,"00")&amp;"_事業者10_リース会社に該当する場合"</f>
        <v>54_事業者10_リース会社に該当する場合</v>
      </c>
      <c r="C276" s="108"/>
      <c r="D276" s="53" t="s">
        <v>147</v>
      </c>
      <c r="E276" s="143" t="str">
        <f>IFERROR(IF(AND(E69&lt;&gt;"",E69&lt;&gt;"●"),"入力する場合、●を入力してください"," "),$F$221)</f>
        <v xml:space="preserve"> </v>
      </c>
    </row>
    <row r="277" spans="1:7">
      <c r="B277" s="61" t="s">
        <v>160</v>
      </c>
      <c r="E277" t="s">
        <v>139</v>
      </c>
    </row>
    <row r="278" spans="1:7">
      <c r="A278" s="176">
        <f>MAX($A$221:A277)+1</f>
        <v>55</v>
      </c>
      <c r="B278" s="14" t="str">
        <f>TEXT(A278,"00")&amp;"_事業者1_業種"</f>
        <v>55_事業者1_業種</v>
      </c>
      <c r="C278" s="108"/>
      <c r="D278" s="53" t="s">
        <v>161</v>
      </c>
      <c r="E278" s="231" t="str">
        <f>IFERROR(IF($E$8="非該当"," ",(IF($E$73="","該当・非該当を選択してください",IF($E$73="非該当"," ",IF(OR($E$74="",$E$75="",$E$76=""),"業種を選択してください",IF(AND(OR($E$74="T_分類不能の産業",COUNTIF($E$76,"*その他*")&gt;0,COUNTIF($E$76,"*他に分類されない*")&gt;0),$E$77=""),"その他の業種を記載してください"," ")))))),$F$221)</f>
        <v>該当・非該当を選択してください</v>
      </c>
    </row>
    <row r="279" spans="1:7">
      <c r="A279" s="176">
        <f>MAX($A$221:A278)+1</f>
        <v>56</v>
      </c>
      <c r="B279" s="14" t="str">
        <f>TEXT(A279,"00")&amp;"_事業者2_業種"</f>
        <v>56_事業者2_業種</v>
      </c>
      <c r="C279" s="108"/>
      <c r="D279" s="53" t="s">
        <v>162</v>
      </c>
      <c r="E279" s="231" t="str">
        <f>IFERROR(IF($E$8="非該当"," ",(IF($E$78=""," ",IF($E$79="","該当・非該当を選択してください",IF($E$79="非該当"," ",IF(AND($E$79="該当",OR($E$80="",$E$81="",$E$82="")),"業種を選択してください",IF(AND(OR($E$80="T_分類不能の産業",COUNTIF($E$82,"*その他*")&gt;0,COUNTIF($E$82,"*他に分類されない*")&gt;0),$E$83=""),"その他の業種を記載してください"," "))))))),$F$221)</f>
        <v xml:space="preserve"> </v>
      </c>
    </row>
    <row r="280" spans="1:7">
      <c r="A280" s="176">
        <f>MAX($A$221:A279)+1</f>
        <v>57</v>
      </c>
      <c r="B280" s="14" t="str">
        <f>TEXT(A280,"00")&amp;"_事業者3_業種"</f>
        <v>57_事業者3_業種</v>
      </c>
      <c r="C280" s="108"/>
      <c r="D280" s="53" t="s">
        <v>162</v>
      </c>
      <c r="E280" s="231" t="str">
        <f>IFERROR(IF($E$8="非該当"," ",(IF($E$84=""," ",IF($E$85="","該当・非該当を選択してください",IF($E$85="非該当"," ",IF(AND($E$85="該当",OR($E$86="",$E$87="",$E$88="")),"業種を選択してください",IF(AND(OR($E$86="T_分類不能の産業",COUNTIF($E$88,"*その他*")&gt;0,COUNTIF($E$88,"*他に分類されない*")&gt;0),$E$89=""),"その他の業種を記載してください"," "))))))),$F$221)</f>
        <v xml:space="preserve"> </v>
      </c>
    </row>
    <row r="281" spans="1:7">
      <c r="A281" s="176">
        <f>MAX($A$221:A280)+1</f>
        <v>58</v>
      </c>
      <c r="B281" s="14" t="str">
        <f>TEXT(A281,"00")&amp;"_事業者4_業種"</f>
        <v>58_事業者4_業種</v>
      </c>
      <c r="C281" s="108"/>
      <c r="D281" s="53" t="s">
        <v>162</v>
      </c>
      <c r="E281" s="231" t="str">
        <f>IFERROR(IF($E$8="非該当"," ",(IF($E$90=""," ",IF($E$91="","該当・非該当を選択してください",IF($E$91="非該当"," ",IF(AND($E$91="該当",OR($E$92="",$E$93="",$E$94="")),"業種を選択してください",IF(AND(OR($E$92="T_分類不能の産業",COUNTIF($E$94,"*その他*")&gt;0,COUNTIF($E$94,"*他に分類されない*")&gt;0),$E$95=""),"その他の業種を記載してください"," "))))))),$F$221)</f>
        <v xml:space="preserve"> </v>
      </c>
    </row>
    <row r="282" spans="1:7">
      <c r="A282" s="176">
        <f>MAX($A$221:A281)+1</f>
        <v>59</v>
      </c>
      <c r="B282" s="14" t="str">
        <f>TEXT(A282,"00")&amp;"_事業者5_業種"</f>
        <v>59_事業者5_業種</v>
      </c>
      <c r="C282" s="108"/>
      <c r="D282" s="53" t="s">
        <v>162</v>
      </c>
      <c r="E282" s="231" t="str">
        <f>IFERROR(IF($E$8="非該当"," ",(IF($E$96=""," ",IF($E$97="","該当・非該当を選択してください",IF($E$97="非該当"," ",IF(AND($E$97="該当",OR($E$98="",$E$99="",$E$100="")),"業種を選択してください",IF(AND(OR($E$98="T_分類不能の産業",COUNTIF($E$100,"*その他*")&gt;0,COUNTIF($E$100,"*他に分類されない*")&gt;0),$E$101=""),"その他の業種を記載してください"," "))))))),$F$221)</f>
        <v xml:space="preserve"> </v>
      </c>
    </row>
    <row r="283" spans="1:7">
      <c r="A283" s="176">
        <f>MAX($A$221:A282)+1</f>
        <v>60</v>
      </c>
      <c r="B283" s="14" t="str">
        <f>TEXT(A283,"00")&amp;"_事業者6_業種"</f>
        <v>60_事業者6_業種</v>
      </c>
      <c r="C283" s="108"/>
      <c r="D283" s="53" t="s">
        <v>162</v>
      </c>
      <c r="E283" s="231" t="str">
        <f>IFERROR(IF($E$8="非該当"," ",(IF($E$102=""," ",IF($E$103="","該当・非該当を選択してください",IF($E$103="非該当"," ",IF(AND($E$103="該当",OR($E$104="",$E$105="",$E$106="")),"業種を選択してください",IF(AND(OR($E$104="T_分類不能の産業",COUNTIF($E$106,"*その他*")&gt;0,COUNTIF($E$106,"*他に分類されない*")&gt;0),$E$107=""),"その他の業種を記載してください"," "))))))),$F$221)</f>
        <v xml:space="preserve"> </v>
      </c>
    </row>
    <row r="284" spans="1:7">
      <c r="A284" s="176">
        <f>MAX($A$221:A283)+1</f>
        <v>61</v>
      </c>
      <c r="B284" s="14" t="str">
        <f>TEXT(A284,"00")&amp;"_事業者7_業種"</f>
        <v>61_事業者7_業種</v>
      </c>
      <c r="C284" s="108"/>
      <c r="D284" s="53" t="s">
        <v>162</v>
      </c>
      <c r="E284" s="231" t="str">
        <f>IFERROR(IF($E$8="非該当"," ",(IF($E$108=""," ",IF($E$109="","該当・非該当を選択してください",IF($E$109="非該当"," ",IF(AND($E$109="該当",OR($E$110="",$E$111="",$E$112="")),"業種を選択してください",IF(AND(OR($E$110="T_分類不能の産業",COUNTIF($E$112,"*その他*")&gt;0,COUNTIF($E$112,"*他に分類されない*")&gt;0),$E$113=""),"その他の業種を記載してください"," "))))))),$F$221)</f>
        <v xml:space="preserve"> </v>
      </c>
    </row>
    <row r="285" spans="1:7">
      <c r="A285" s="176">
        <f>MAX($A$221:A284)+1</f>
        <v>62</v>
      </c>
      <c r="B285" s="14" t="str">
        <f>TEXT(A285,"00")&amp;"_事業者8_業種"</f>
        <v>62_事業者8_業種</v>
      </c>
      <c r="C285" s="108"/>
      <c r="D285" s="53" t="s">
        <v>162</v>
      </c>
      <c r="E285" s="231" t="str">
        <f>IFERROR(IF($E$8="非該当"," ",(IF($E$114=""," ",IF($E$115="","該当・非該当を選択してください",IF($E$115="非該当"," ",IF(AND($E$115="該当",OR($E$116="",$E$117="",$E$118="")),"業種を選択してください",IF(AND(OR($E$116="T_分類不能の産業",COUNTIF($E$118,"*その他*")&gt;0,COUNTIF($E$118,"*他に分類されない*")&gt;0),$E$119=""),"その他の業種を記載してください"," "))))))),$F$221)</f>
        <v xml:space="preserve"> </v>
      </c>
    </row>
    <row r="286" spans="1:7">
      <c r="A286" s="176">
        <f>MAX($A$221:A285)+1</f>
        <v>63</v>
      </c>
      <c r="B286" s="14" t="str">
        <f>TEXT(A286,"00")&amp;"_事業者9_業種"</f>
        <v>63_事業者9_業種</v>
      </c>
      <c r="C286" s="108"/>
      <c r="D286" s="53" t="s">
        <v>162</v>
      </c>
      <c r="E286" s="231" t="str">
        <f>IFERROR(IF($E$8="非該当"," ",(IF($E$120=""," ",IF($E$121="","該当・非該当を選択してください",IF($E$121="非該当"," ",IF(AND($E$121="該当",OR($E$122="",$E$123="",$E$124="")),"業種を選択してください",IF(AND(OR($E$122="T_分類不能の産業",COUNTIF($E$124,"*その他*")&gt;0,COUNTIF($E$124,"*他に分類されない*")&gt;0),$E$125=""),"その他の業種を記載してください"," "))))))),$F$221)</f>
        <v xml:space="preserve"> </v>
      </c>
    </row>
    <row r="287" spans="1:7">
      <c r="A287" s="176">
        <f>MAX($A$221:A286)+1</f>
        <v>64</v>
      </c>
      <c r="B287" s="14" t="str">
        <f>TEXT(A287,"00")&amp;"_事業者10_業種"</f>
        <v>64_事業者10_業種</v>
      </c>
      <c r="C287" s="108"/>
      <c r="D287" s="53" t="s">
        <v>162</v>
      </c>
      <c r="E287" s="231" t="str">
        <f>IFERROR(IF($E$8="非該当"," ",(IF($E$126=""," ",IF($E$127="","該当・非該当を選択してください",IF($E$127="非該当"," ",IF(AND($E$127="該当",OR($E$128="",$E$129="",$E$130="")),"業種を選択してください",IF(AND(OR($E$128="T_分類不能の産業",COUNTIF($E$130,"*その他*")&gt;0,COUNTIF($E$130,"*他に分類されない*")&gt;0),$E$131=""),"その他の業種を記載してください"," "))))))),$F$221)</f>
        <v xml:space="preserve"> </v>
      </c>
    </row>
    <row r="288" spans="1:7">
      <c r="A288" s="176">
        <f>MAX($A$221:A287)+1</f>
        <v>65</v>
      </c>
    </row>
    <row r="289" spans="1:2">
      <c r="A289" s="176">
        <f>MAX($A$221:A288)+1</f>
        <v>66</v>
      </c>
    </row>
    <row r="291" spans="1:2">
      <c r="B291" s="230"/>
    </row>
  </sheetData>
  <sheetProtection algorithmName="SHA-512" hashValue="AJb528ROqNIqoktF3oWD0WBp5nwVsJfw2e3+ZdzTKdIRDZgelMcHiydHmmqLxjW+f/BT8/vIUDb0mqMs8o/Wsg==" saltValue="s26DsDYpy4vaNfmVV9Um8Q==" spinCount="100000" sheet="1" formatRows="0"/>
  <mergeCells count="2">
    <mergeCell ref="B11:E11"/>
    <mergeCell ref="B13:E13"/>
  </mergeCells>
  <phoneticPr fontId="1"/>
  <conditionalFormatting sqref="B43:E69">
    <cfRule type="expression" dxfId="60" priority="70">
      <formula>$E$37="非該当"</formula>
    </cfRule>
  </conditionalFormatting>
  <conditionalFormatting sqref="B72:E131">
    <cfRule type="expression" dxfId="59" priority="59">
      <formula>$E$8="非該当"</formula>
    </cfRule>
  </conditionalFormatting>
  <conditionalFormatting sqref="B134:E153">
    <cfRule type="expression" dxfId="58" priority="69">
      <formula>$E$38="非該当"</formula>
    </cfRule>
  </conditionalFormatting>
  <conditionalFormatting sqref="B156:E165">
    <cfRule type="expression" dxfId="57" priority="68">
      <formula>$E$39="非該当"</formula>
    </cfRule>
  </conditionalFormatting>
  <conditionalFormatting sqref="B168:E217">
    <cfRule type="expression" dxfId="56" priority="67">
      <formula>$E$12="非該当"</formula>
    </cfRule>
  </conditionalFormatting>
  <conditionalFormatting sqref="D4:E4">
    <cfRule type="expression" dxfId="55" priority="71">
      <formula>$D$4&lt;&gt;""</formula>
    </cfRule>
  </conditionalFormatting>
  <conditionalFormatting sqref="E74:E77">
    <cfRule type="expression" dxfId="54" priority="26">
      <formula>$E$73="非該当"</formula>
    </cfRule>
  </conditionalFormatting>
  <conditionalFormatting sqref="E77">
    <cfRule type="expression" dxfId="53" priority="58">
      <formula>OR($E74="T_分類不能の産業",COUNTIF($E76,"*_その他*"),COUNTIF($E76,"*他に分類されない*"))</formula>
    </cfRule>
  </conditionalFormatting>
  <conditionalFormatting sqref="E80 E86">
    <cfRule type="expression" dxfId="52" priority="5">
      <formula>$E$73="非該当"</formula>
    </cfRule>
  </conditionalFormatting>
  <conditionalFormatting sqref="E80:E83">
    <cfRule type="expression" dxfId="51" priority="25">
      <formula>$E$79="非該当"</formula>
    </cfRule>
  </conditionalFormatting>
  <conditionalFormatting sqref="E83">
    <cfRule type="expression" dxfId="50" priority="56">
      <formula>OR($E80="T_分類不能の産業",COUNTIF($E82,"*_その他*"),COUNTIF($E82,"*他に分類されない*"))</formula>
    </cfRule>
  </conditionalFormatting>
  <conditionalFormatting sqref="E86:E89">
    <cfRule type="expression" dxfId="49" priority="24">
      <formula>$E$85="非該当"</formula>
    </cfRule>
  </conditionalFormatting>
  <conditionalFormatting sqref="E89">
    <cfRule type="expression" dxfId="48" priority="54">
      <formula>OR($E86="T_分類不能の産業",COUNTIF($E88,"*_その他*"),COUNTIF($E88,"*他に分類されない*"))</formula>
    </cfRule>
  </conditionalFormatting>
  <conditionalFormatting sqref="E92 E98">
    <cfRule type="expression" dxfId="47" priority="4">
      <formula>$E$73="非該当"</formula>
    </cfRule>
  </conditionalFormatting>
  <conditionalFormatting sqref="E92:E95">
    <cfRule type="expression" dxfId="46" priority="23">
      <formula>$E$91="非該当"</formula>
    </cfRule>
  </conditionalFormatting>
  <conditionalFormatting sqref="E95">
    <cfRule type="expression" dxfId="45" priority="52">
      <formula>OR($E92="T_分類不能の産業",COUNTIF($E94,"*_その他*"),COUNTIF($E94,"*他に分類されない*"))</formula>
    </cfRule>
  </conditionalFormatting>
  <conditionalFormatting sqref="E98:E101">
    <cfRule type="expression" dxfId="44" priority="22">
      <formula>$E$97="非該当"</formula>
    </cfRule>
  </conditionalFormatting>
  <conditionalFormatting sqref="E101">
    <cfRule type="expression" dxfId="43" priority="50">
      <formula>OR($E98="T_分類不能の産業",COUNTIF($E100,"*_その他*"),COUNTIF($E100,"*他に分類されない*"))</formula>
    </cfRule>
  </conditionalFormatting>
  <conditionalFormatting sqref="E104 E110">
    <cfRule type="expression" dxfId="42" priority="3">
      <formula>$E$73="非該当"</formula>
    </cfRule>
  </conditionalFormatting>
  <conditionalFormatting sqref="E104:E107">
    <cfRule type="expression" dxfId="41" priority="21">
      <formula>$E$103="非該当"</formula>
    </cfRule>
  </conditionalFormatting>
  <conditionalFormatting sqref="E107">
    <cfRule type="expression" dxfId="40" priority="48">
      <formula>OR($E104="T_分類不能の産業",COUNTIF($E106,"*_その他*"),COUNTIF($E106,"*他に分類されない*"))</formula>
    </cfRule>
  </conditionalFormatting>
  <conditionalFormatting sqref="E110:E113">
    <cfRule type="expression" dxfId="39" priority="20">
      <formula>$E$109="非該当"</formula>
    </cfRule>
  </conditionalFormatting>
  <conditionalFormatting sqref="E113">
    <cfRule type="expression" dxfId="38" priority="46">
      <formula>OR($E110="T_分類不能の産業",COUNTIF($E112,"*_その他*"),COUNTIF($E112,"*他に分類されない*"))</formula>
    </cfRule>
  </conditionalFormatting>
  <conditionalFormatting sqref="E116">
    <cfRule type="expression" dxfId="37" priority="2">
      <formula>$E$73="非該当"</formula>
    </cfRule>
  </conditionalFormatting>
  <conditionalFormatting sqref="E116:E119">
    <cfRule type="expression" dxfId="36" priority="19">
      <formula>$E$115="非該当"</formula>
    </cfRule>
  </conditionalFormatting>
  <conditionalFormatting sqref="E119">
    <cfRule type="expression" dxfId="35" priority="43">
      <formula>OR($E116="T_分類不能の産業",COUNTIF($E118,"*_その他*"),COUNTIF($E118,"*他に分類されない*"))</formula>
    </cfRule>
  </conditionalFormatting>
  <conditionalFormatting sqref="E122 E128">
    <cfRule type="expression" dxfId="34" priority="1">
      <formula>$E$73="非該当"</formula>
    </cfRule>
  </conditionalFormatting>
  <conditionalFormatting sqref="E122:E125">
    <cfRule type="expression" dxfId="33" priority="7">
      <formula>$E$121="非該当"</formula>
    </cfRule>
  </conditionalFormatting>
  <conditionalFormatting sqref="E125">
    <cfRule type="expression" dxfId="32" priority="28">
      <formula>OR($E122="T_分類不能の産業",COUNTIF($E124,"*_その他*"),COUNTIF($E124,"*他に分類されない*"))</formula>
    </cfRule>
  </conditionalFormatting>
  <conditionalFormatting sqref="E128:E131">
    <cfRule type="expression" dxfId="31" priority="6">
      <formula>$E$127="非該当"</formula>
    </cfRule>
  </conditionalFormatting>
  <conditionalFormatting sqref="E131">
    <cfRule type="expression" dxfId="30" priority="27">
      <formula>OR($E128="T_分類不能の産業",COUNTIF($E130,"*_その他*"),COUNTIF($E130,"*他に分類されない*"))</formula>
    </cfRule>
  </conditionalFormatting>
  <dataValidations count="13">
    <dataValidation type="list" allowBlank="1" showInputMessage="1" showErrorMessage="1" sqref="E45 E48 E51 E54 E57 E60 E63 E66 E69" xr:uid="{EB8E686B-AA47-4485-A67C-5ADD43AA94A2}">
      <formula1>"●"</formula1>
    </dataValidation>
    <dataValidation type="textLength" imeMode="disabled" allowBlank="1" showInputMessage="1" showErrorMessage="1" error="入力内容を確認してください。" sqref="E16 E64 E43 E46 E49 E52 E55 E58 E61 E67" xr:uid="{886E6D0A-C58F-4A24-83DB-11A02F512660}">
      <formula1>13</formula1>
      <formula2>14</formula2>
    </dataValidation>
    <dataValidation type="textLength" imeMode="disabled" allowBlank="1" showInputMessage="1" showErrorMessage="1" error="入力内容を確認してください。" sqref="E33:E34 E25:E26" xr:uid="{75D2656C-A382-4B7F-8AD1-44B4B7097FC6}">
      <formula1>10</formula1>
      <formula2>11</formula2>
    </dataValidation>
    <dataValidation type="textLength" imeMode="disabled" operator="equal" allowBlank="1" showInputMessage="1" showErrorMessage="1" error="入力内容を確認してください。" sqref="E27 E35" xr:uid="{5F9A217C-78AF-42FB-B3B7-6F10E877581C}">
      <formula1>11</formula1>
    </dataValidation>
    <dataValidation imeMode="disabled" allowBlank="1" showInputMessage="1" showErrorMessage="1" sqref="E28 E36" xr:uid="{1C68A8B3-4578-436C-A810-D338B711AC5A}"/>
    <dataValidation type="list" allowBlank="1" showInputMessage="1" showErrorMessage="1" sqref="E10" xr:uid="{D2221EB8-03C9-4E36-AABC-EC447D595AA4}">
      <formula1>"1/4補助率を許容する,1/4補助率を許容しない"</formula1>
    </dataValidation>
    <dataValidation type="list" allowBlank="1" showInputMessage="1" showErrorMessage="1" sqref="E12 E103 E14 E37:E39 E73 E79 E85 E91 E97 E127 E109 E115 E121" xr:uid="{3A52F039-34FE-49A9-9A02-6612914414F5}">
      <formula1>"該当,非該当"</formula1>
    </dataValidation>
    <dataValidation type="list" allowBlank="1" showInputMessage="1" showErrorMessage="1" sqref="E18" xr:uid="{46F3B9B9-22B7-422A-97F3-19999F2798DB}">
      <formula1>"北海道,青森,岩手,宮城,秋田,山形,福島,茨城,栃木,群馬,埼玉,千葉,東京,神奈川,新潟,富山,石川,福井,山梨,長野,岐阜,静岡,愛知,三重,滋賀,京都,大阪,兵庫,奈良,和歌山,鳥取,島根,岡山,広島,山口,徳島,香川,愛媛,高知,福岡,佐賀,長崎,熊本,大分,宮崎,鹿児島,沖縄"</formula1>
    </dataValidation>
    <dataValidation type="list" allowBlank="1" showInputMessage="1" showErrorMessage="1" sqref="E40" xr:uid="{97898EF3-C02E-49AA-938D-2E3FEF78A956}">
      <formula1>"公表,非公表"</formula1>
    </dataValidation>
    <dataValidation type="list" allowBlank="1" showInputMessage="1" showErrorMessage="1" sqref="E75 E81 E87 E93 E99 E105 E111 E117 E123 E129" xr:uid="{A6F2ED0A-5515-4A9A-89FB-3DEA9CC66F5F}">
      <formula1>INDIRECT($E74)</formula1>
    </dataValidation>
    <dataValidation type="list" allowBlank="1" showInputMessage="1" showErrorMessage="1" sqref="E76 E82 E88 E94 E100 E106 E112 E118 E124 E130" xr:uid="{FD22ABD0-B633-4B8D-973E-7C0F6E6D2442}">
      <formula1>INDIRECT("_"&amp;$E75)</formula1>
    </dataValidation>
    <dataValidation type="date" allowBlank="1" showInputMessage="1" showErrorMessage="1" sqref="E15" xr:uid="{7A89F250-6548-4521-805A-6C6692E18F05}">
      <formula1>45845</formula1>
      <formula2>45877</formula2>
    </dataValidation>
    <dataValidation type="list" allowBlank="1" showInputMessage="1" showErrorMessage="1" sqref="E8" xr:uid="{26378522-459E-4563-AFDA-FB412A497ACB}">
      <formula1>"該当（みなし同一法人あり）,該当（みなし同一法人なし）,非該当"</formula1>
    </dataValidation>
  </dataValidations>
  <pageMargins left="0.25" right="0.25" top="0.75" bottom="0.75" header="0.3" footer="0.3"/>
  <pageSetup paperSize="9" scale="51" orientation="portrait" horizontalDpi="300"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B9824B3-639A-4F23-89B1-84D1598C4906}">
          <x14:formula1>
            <xm:f>【参考】業種!$F$2:$Y$2</xm:f>
          </x14:formula1>
          <xm:sqref>E74 E80 E86 E92 E98 E104 E110 E116 E122 E128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9A3A-0C86-4D7D-BA7A-31398A253C29}">
  <sheetPr codeName="Sheet3">
    <tabColor theme="7" tint="0.79998168889431442"/>
    <pageSetUpPr fitToPage="1"/>
  </sheetPr>
  <dimension ref="A1:V159"/>
  <sheetViews>
    <sheetView zoomScaleNormal="100" workbookViewId="0"/>
  </sheetViews>
  <sheetFormatPr defaultColWidth="9" defaultRowHeight="18"/>
  <cols>
    <col min="1" max="1" width="5.625" style="1" customWidth="1"/>
    <col min="2" max="3" width="3.75" style="1" customWidth="1"/>
    <col min="4" max="4" width="5.375" style="3" bestFit="1" customWidth="1"/>
    <col min="5" max="5" width="76" style="2" customWidth="1"/>
    <col min="6" max="6" width="31.375" style="1" customWidth="1"/>
    <col min="7" max="17" width="15.625" style="1" customWidth="1"/>
    <col min="18" max="18" width="12.375" style="1" customWidth="1"/>
    <col min="19" max="19" width="15.375" style="1" customWidth="1"/>
    <col min="20" max="20" width="12.375" style="1" customWidth="1"/>
    <col min="21" max="21" width="14.375" style="1" customWidth="1"/>
    <col min="22" max="16384" width="9" style="1"/>
  </cols>
  <sheetData>
    <row r="1" spans="1:17" ht="14.45" customHeight="1">
      <c r="A1" s="96" t="s">
        <v>0</v>
      </c>
      <c r="E1" s="211">
        <f>①申請者情報!E16</f>
        <v>0</v>
      </c>
    </row>
    <row r="2" spans="1:17" ht="7.5" customHeight="1">
      <c r="A2" s="39"/>
    </row>
    <row r="3" spans="1:17" ht="22.5">
      <c r="B3" s="66" t="s">
        <v>163</v>
      </c>
    </row>
    <row r="4" spans="1:17" ht="16.149999999999999" customHeight="1" thickBot="1">
      <c r="B4" s="8"/>
      <c r="C4" s="8"/>
    </row>
    <row r="5" spans="1:17" ht="18.600000000000001" thickBot="1">
      <c r="B5" s="8"/>
      <c r="C5" s="170" t="str">
        <f ca="1">IF(OR(COUNTIF(G126:G138,"非該当")&gt;0,COUNTIF(F143:F147,"&lt;&gt;"&amp;" ")),"要件を満たしていない項目があります。最下行の&lt;要件の充足チェック&gt;, &lt;入力チェック&gt;を確認してください。","")</f>
        <v>要件を満たしていない項目があります。最下行の&lt;要件の充足チェック&gt;, &lt;入力チェック&gt;を確認してください。</v>
      </c>
      <c r="D5" s="115"/>
      <c r="E5" s="212"/>
    </row>
    <row r="6" spans="1:17" ht="16.149999999999999" customHeight="1">
      <c r="B6" s="8"/>
      <c r="J6" s="60"/>
    </row>
    <row r="7" spans="1:17" ht="16.149999999999999" customHeight="1">
      <c r="D7" s="29" t="s">
        <v>164</v>
      </c>
      <c r="E7" s="213" t="str">
        <f>IF(①申請者情報!$E$15="","",①申請者情報!$E$15)</f>
        <v/>
      </c>
      <c r="J7" s="60"/>
    </row>
    <row r="8" spans="1:17" ht="16.149999999999999" customHeight="1">
      <c r="D8" s="29" t="s">
        <v>165</v>
      </c>
      <c r="E8" s="214" t="str">
        <f>①申請者情報!$E$17&amp;""</f>
        <v/>
      </c>
      <c r="J8" s="60"/>
    </row>
    <row r="9" spans="1:17" ht="16.149999999999999" customHeight="1">
      <c r="B9" s="8"/>
      <c r="D9" s="29" t="s">
        <v>166</v>
      </c>
      <c r="E9" s="215"/>
    </row>
    <row r="10" spans="1:17" ht="16.149999999999999" customHeight="1">
      <c r="D10" s="29" t="s">
        <v>167</v>
      </c>
      <c r="E10" s="215"/>
      <c r="F10" s="50"/>
      <c r="G10" s="1" t="s">
        <v>168</v>
      </c>
    </row>
    <row r="11" spans="1:17">
      <c r="C11" s="8"/>
      <c r="D11" s="29" t="s">
        <v>169</v>
      </c>
      <c r="G11" s="57" t="s">
        <v>170</v>
      </c>
      <c r="H11" s="57" t="s">
        <v>171</v>
      </c>
      <c r="I11" s="57" t="s">
        <v>172</v>
      </c>
      <c r="J11" s="111" t="s">
        <v>173</v>
      </c>
      <c r="K11" s="111"/>
      <c r="L11" s="111"/>
      <c r="M11" s="111"/>
      <c r="N11" s="111"/>
      <c r="O11" s="111"/>
      <c r="P11" s="111"/>
      <c r="Q11" s="111"/>
    </row>
    <row r="12" spans="1:17">
      <c r="B12" s="8"/>
      <c r="D12" s="29" t="s">
        <v>174</v>
      </c>
      <c r="E12" s="216"/>
      <c r="G12" s="112" t="str">
        <f>IF($E$9="","",EDATE(H12,-12))</f>
        <v/>
      </c>
      <c r="H12" s="112" t="str">
        <f>IF($E$9="","",EDATE(I12,-12))</f>
        <v/>
      </c>
      <c r="I12" s="112" t="str">
        <f>IF($E$9="","",$E$9)</f>
        <v/>
      </c>
      <c r="J12" s="112" t="str">
        <f t="shared" ref="J12:Q12" si="0">IF($E$9="","",EDATE(I12,12))</f>
        <v/>
      </c>
      <c r="K12" s="112" t="str">
        <f t="shared" si="0"/>
        <v/>
      </c>
      <c r="L12" s="112" t="str">
        <f t="shared" si="0"/>
        <v/>
      </c>
      <c r="M12" s="112" t="str">
        <f t="shared" si="0"/>
        <v/>
      </c>
      <c r="N12" s="112" t="str">
        <f t="shared" si="0"/>
        <v/>
      </c>
      <c r="O12" s="112" t="str">
        <f t="shared" si="0"/>
        <v/>
      </c>
      <c r="P12" s="112" t="str">
        <f t="shared" si="0"/>
        <v/>
      </c>
      <c r="Q12" s="112" t="str">
        <f t="shared" si="0"/>
        <v/>
      </c>
    </row>
    <row r="13" spans="1:17">
      <c r="B13" s="8"/>
      <c r="D13" s="135" t="s">
        <v>175</v>
      </c>
      <c r="E13" s="217"/>
      <c r="F13" s="242" t="str">
        <f>IF(E12="","",IF($E$13="適用する（確定した決算数値が1期もない事業者のみ選択可能）",EDATE($E$12,12),$E$12))</f>
        <v/>
      </c>
      <c r="G13" s="189" t="str">
        <f>IFERROR(IF(AND(G12&lt;&gt;"",$F$13=G12),"基準年",IF($F$13&lt;G12,IF(YEAR(G12)-YEAR($F$13)&lt;4,"事業化報告"&amp;YEAR(G12)-YEAR($F$13)&amp;"年目","－"),"")),"")</f>
        <v/>
      </c>
      <c r="H13" s="189" t="str">
        <f>IFERROR(IF(AND(H12&lt;&gt;"",$F$13=H12),"基準年",IF($F$13&lt;H12,IF(YEAR(H12)-YEAR($F$13)&lt;4,"事業化報告"&amp;YEAR(H12)-YEAR($F$13)&amp;"年目","－"),"")),"")</f>
        <v/>
      </c>
      <c r="I13" s="189" t="str">
        <f t="shared" ref="I13:Q13" si="1">IFERROR(IF(AND(I12&lt;&gt;"",$F$13=I12),"基準年",IF($F$13&lt;I12,IF(YEAR(I12)-YEAR($F$13)&lt;4,"事業化報告"&amp;YEAR(I12)-YEAR($F$13)&amp;"年目","－"),"")),"")</f>
        <v/>
      </c>
      <c r="J13" s="189" t="str">
        <f t="shared" si="1"/>
        <v/>
      </c>
      <c r="K13" s="189" t="str">
        <f t="shared" si="1"/>
        <v/>
      </c>
      <c r="L13" s="189" t="str">
        <f t="shared" si="1"/>
        <v/>
      </c>
      <c r="M13" s="189" t="str">
        <f t="shared" si="1"/>
        <v/>
      </c>
      <c r="N13" s="189" t="str">
        <f>IFERROR(IF(AND(N12&lt;&gt;"",$F$13=N12),"基準年",IF($F$13&lt;N12,IF(YEAR(N12)-YEAR($F$13)&lt;4,"事業化報告"&amp;YEAR(N12)-YEAR($F$13)&amp;"年目","－"),"")),"")</f>
        <v/>
      </c>
      <c r="O13" s="189" t="str">
        <f>IFERROR(IF(AND(O12&lt;&gt;"",$F$13=O12),"基準年",IF($F$13&lt;O12,IF(YEAR(O12)-YEAR($F$13)&lt;4,"事業化報告"&amp;YEAR(O12)-YEAR($F$13)&amp;"年目","－"),"")),"")</f>
        <v/>
      </c>
      <c r="P13" s="189" t="str">
        <f t="shared" si="1"/>
        <v/>
      </c>
      <c r="Q13" s="189" t="str">
        <f t="shared" si="1"/>
        <v/>
      </c>
    </row>
    <row r="14" spans="1:17" ht="20.100000000000001">
      <c r="B14" s="17" t="s">
        <v>176</v>
      </c>
      <c r="D14" s="1"/>
      <c r="F14" s="25"/>
    </row>
    <row r="15" spans="1:17">
      <c r="B15" s="49">
        <f>MAX($B$14:B14)+1</f>
        <v>1</v>
      </c>
      <c r="C15" s="43" t="s">
        <v>177</v>
      </c>
      <c r="D15" s="23"/>
      <c r="E15" s="206"/>
      <c r="F15" s="24"/>
      <c r="G15" s="11"/>
      <c r="H15" s="11"/>
      <c r="I15" s="11"/>
      <c r="J15" s="11"/>
      <c r="K15" s="11"/>
      <c r="L15" s="11"/>
      <c r="M15" s="11"/>
      <c r="N15" s="11"/>
      <c r="O15" s="11"/>
      <c r="P15" s="11"/>
      <c r="Q15" s="11"/>
    </row>
    <row r="16" spans="1:17" ht="29.25" customHeight="1">
      <c r="C16" s="106"/>
      <c r="D16" s="5" t="str">
        <f>MAX($B$15:B16)&amp;"-"&amp;COUNTA($D$15:D15)+1</f>
        <v>1-1</v>
      </c>
      <c r="E16" s="218" t="s">
        <v>178</v>
      </c>
      <c r="F16" s="19"/>
      <c r="G16" s="117"/>
      <c r="H16" s="117"/>
      <c r="I16" s="117"/>
      <c r="J16" s="16"/>
      <c r="K16" s="16"/>
      <c r="L16" s="16"/>
      <c r="M16" s="16"/>
      <c r="N16" s="16"/>
      <c r="O16" s="16"/>
      <c r="P16" s="16"/>
      <c r="Q16" s="16"/>
    </row>
    <row r="17" spans="2:17" ht="29.25" customHeight="1">
      <c r="C17" s="9"/>
      <c r="D17" s="5" t="str">
        <f>MAX($B$15:B17)&amp;"-"&amp;COUNTA($D$15:D16)+1</f>
        <v>1-2</v>
      </c>
      <c r="E17" s="218" t="s">
        <v>179</v>
      </c>
      <c r="F17" s="18"/>
      <c r="G17" s="117"/>
      <c r="H17" s="117"/>
      <c r="I17" s="117"/>
      <c r="J17" s="16"/>
      <c r="K17" s="16"/>
      <c r="L17" s="16"/>
      <c r="M17" s="16"/>
      <c r="N17" s="16"/>
      <c r="O17" s="16"/>
      <c r="P17" s="16"/>
      <c r="Q17" s="16"/>
    </row>
    <row r="18" spans="2:17" ht="29.25" customHeight="1">
      <c r="C18" s="9"/>
      <c r="D18" s="5" t="str">
        <f>MAX($B$15:B18)&amp;"-"&amp;COUNTA($D$15:D17)+1</f>
        <v>1-3</v>
      </c>
      <c r="E18" s="218" t="s">
        <v>180</v>
      </c>
      <c r="F18" s="18"/>
      <c r="G18" s="117"/>
      <c r="H18" s="117"/>
      <c r="I18" s="117"/>
      <c r="J18" s="16"/>
      <c r="K18" s="16"/>
      <c r="L18" s="16"/>
      <c r="M18" s="16"/>
      <c r="N18" s="16"/>
      <c r="O18" s="16"/>
      <c r="P18" s="16"/>
      <c r="Q18" s="16"/>
    </row>
    <row r="19" spans="2:17" ht="29.25" customHeight="1">
      <c r="C19" s="9"/>
      <c r="D19" s="5" t="str">
        <f>MAX($B$15:B19)&amp;"-"&amp;COUNTA($D$15:D18)+1</f>
        <v>1-4</v>
      </c>
      <c r="E19" s="218" t="s">
        <v>181</v>
      </c>
      <c r="F19" s="18"/>
      <c r="G19" s="117"/>
      <c r="H19" s="117"/>
      <c r="I19" s="117"/>
      <c r="J19" s="16"/>
      <c r="K19" s="16"/>
      <c r="L19" s="16"/>
      <c r="M19" s="16"/>
      <c r="N19" s="16"/>
      <c r="O19" s="16"/>
      <c r="P19" s="16"/>
      <c r="Q19" s="16"/>
    </row>
    <row r="20" spans="2:17" ht="29.25" customHeight="1">
      <c r="C20" s="9"/>
      <c r="D20" s="5" t="str">
        <f>MAX($B$15:B20)&amp;"-"&amp;COUNTA($D$15:D19)+1</f>
        <v>1-5</v>
      </c>
      <c r="E20" s="218" t="s">
        <v>182</v>
      </c>
      <c r="F20" s="18"/>
      <c r="G20" s="117"/>
      <c r="H20" s="117"/>
      <c r="I20" s="117"/>
      <c r="J20" s="16"/>
      <c r="K20" s="16"/>
      <c r="L20" s="16"/>
      <c r="M20" s="16"/>
      <c r="N20" s="16"/>
      <c r="O20" s="16"/>
      <c r="P20" s="16"/>
      <c r="Q20" s="16"/>
    </row>
    <row r="21" spans="2:17" ht="29.25" customHeight="1">
      <c r="C21" s="9"/>
      <c r="D21" s="5" t="str">
        <f>MAX($B$15:B21)&amp;"-"&amp;COUNTA($D$15:D20)+1</f>
        <v>1-6</v>
      </c>
      <c r="E21" s="218" t="s">
        <v>183</v>
      </c>
      <c r="F21" s="19"/>
      <c r="G21" s="117"/>
      <c r="H21" s="117"/>
      <c r="I21" s="117"/>
      <c r="J21" s="16"/>
      <c r="K21" s="16"/>
      <c r="L21" s="16"/>
      <c r="M21" s="16"/>
      <c r="N21" s="16"/>
      <c r="O21" s="16"/>
      <c r="P21" s="16"/>
      <c r="Q21" s="16"/>
    </row>
    <row r="22" spans="2:17" ht="29.25" customHeight="1">
      <c r="C22" s="9"/>
      <c r="D22" s="5" t="str">
        <f>MAX($B$15:B22)&amp;"-"&amp;COUNTA($D$15:D21)+1</f>
        <v>1-7</v>
      </c>
      <c r="E22" s="218" t="s">
        <v>184</v>
      </c>
      <c r="F22" s="18"/>
      <c r="G22" s="117"/>
      <c r="H22" s="117"/>
      <c r="I22" s="117"/>
      <c r="J22" s="16"/>
      <c r="K22" s="16"/>
      <c r="L22" s="16"/>
      <c r="M22" s="16"/>
      <c r="N22" s="16"/>
      <c r="O22" s="16"/>
      <c r="P22" s="16"/>
      <c r="Q22" s="16"/>
    </row>
    <row r="23" spans="2:17" ht="29.25" customHeight="1">
      <c r="C23" s="9"/>
      <c r="D23" s="5" t="str">
        <f>MAX($B$15:B23)&amp;"-"&amp;COUNTA($D$15:D22)+1</f>
        <v>1-8</v>
      </c>
      <c r="E23" s="218" t="s">
        <v>185</v>
      </c>
      <c r="F23" s="18"/>
      <c r="G23" s="117"/>
      <c r="H23" s="117"/>
      <c r="I23" s="117"/>
      <c r="J23" s="16"/>
      <c r="K23" s="16"/>
      <c r="L23" s="16"/>
      <c r="M23" s="16"/>
      <c r="N23" s="16"/>
      <c r="O23" s="16"/>
      <c r="P23" s="16"/>
      <c r="Q23" s="16"/>
    </row>
    <row r="24" spans="2:17" ht="29.25" customHeight="1">
      <c r="C24" s="9"/>
      <c r="D24" s="5" t="str">
        <f>MAX($B$15:B24)&amp;"-"&amp;COUNTA($D$15:D23)+1</f>
        <v>1-9</v>
      </c>
      <c r="E24" s="218" t="s">
        <v>186</v>
      </c>
      <c r="F24" s="19"/>
      <c r="G24" s="12">
        <f>G16-G21</f>
        <v>0</v>
      </c>
      <c r="H24" s="12">
        <f>H16-H21</f>
        <v>0</v>
      </c>
      <c r="I24" s="12">
        <f>I16-I21</f>
        <v>0</v>
      </c>
      <c r="J24" s="16"/>
      <c r="K24" s="16"/>
      <c r="L24" s="16"/>
      <c r="M24" s="16"/>
      <c r="N24" s="16"/>
      <c r="O24" s="16"/>
      <c r="P24" s="16"/>
      <c r="Q24" s="16"/>
    </row>
    <row r="25" spans="2:17" ht="29.25" customHeight="1">
      <c r="C25" s="9"/>
      <c r="D25" s="5" t="str">
        <f>MAX($B$15:B25)&amp;"-"&amp;COUNTA($D$15:D24)+1</f>
        <v>1-10</v>
      </c>
      <c r="E25" s="218" t="s">
        <v>187</v>
      </c>
      <c r="F25" s="18"/>
      <c r="G25" s="117"/>
      <c r="H25" s="117"/>
      <c r="I25" s="117"/>
      <c r="J25" s="16"/>
      <c r="K25" s="16"/>
      <c r="L25" s="16"/>
      <c r="M25" s="16"/>
      <c r="N25" s="16"/>
      <c r="O25" s="16"/>
      <c r="P25" s="16"/>
      <c r="Q25" s="16"/>
    </row>
    <row r="26" spans="2:17">
      <c r="B26" s="49"/>
      <c r="C26" s="3"/>
      <c r="I26" s="95"/>
    </row>
    <row r="27" spans="2:17" ht="35.1" customHeight="1">
      <c r="C27" s="3"/>
      <c r="I27" s="95"/>
      <c r="K27" s="297" t="s">
        <v>188</v>
      </c>
      <c r="L27" s="297"/>
      <c r="M27" s="297"/>
      <c r="N27" s="297"/>
      <c r="O27" s="174"/>
      <c r="P27" s="300" t="s">
        <v>189</v>
      </c>
      <c r="Q27" s="301"/>
    </row>
    <row r="28" spans="2:17" ht="24.95" customHeight="1">
      <c r="I28" s="95"/>
      <c r="K28" s="297"/>
      <c r="L28" s="297"/>
      <c r="M28" s="297"/>
      <c r="N28" s="297"/>
      <c r="O28" s="298" t="s">
        <v>190</v>
      </c>
      <c r="P28" s="302" t="str">
        <f>IF(AND(COUNTA(G40:Q41)&gt;0,SUMIF(G40:Q41,"&lt;&gt;"&amp;"")=0),"－",IFERROR((SUM(HLOOKUP(EDATE($F$13,0),$G$32:$Q$46,5,FALSE),HLOOKUP(EDATE($F$13,0),$G$32:$Q$46,6,FALSE))/SUM(HLOOKUP(EDATE($F$13,0),$G$32:$Q$46,9,FALSE),HLOOKUP(EDATE($F$13,0),$G$32:$Q$46,10,FALSE))/(SUM($I$36:$I$37)/SUM($I$40:$I$41)))^(1/(YEAR($F$13)-YEAR($I$12)))-1,""))</f>
        <v/>
      </c>
      <c r="Q28" s="303"/>
    </row>
    <row r="29" spans="2:17" ht="24.95" customHeight="1">
      <c r="I29" s="95"/>
      <c r="K29" s="297"/>
      <c r="L29" s="297"/>
      <c r="M29" s="297"/>
      <c r="N29" s="297"/>
      <c r="O29" s="299"/>
      <c r="P29" s="304"/>
      <c r="Q29" s="305"/>
    </row>
    <row r="30" spans="2:17">
      <c r="I30" s="95"/>
    </row>
    <row r="31" spans="2:17">
      <c r="B31" s="49">
        <f>MAX($B$14:B25)+1</f>
        <v>2</v>
      </c>
      <c r="C31" s="42" t="s">
        <v>191</v>
      </c>
      <c r="G31" s="57" t="s">
        <v>170</v>
      </c>
      <c r="H31" s="57" t="s">
        <v>171</v>
      </c>
      <c r="I31" s="57" t="s">
        <v>172</v>
      </c>
      <c r="J31" s="111" t="s">
        <v>173</v>
      </c>
      <c r="K31" s="111"/>
      <c r="L31" s="111"/>
      <c r="M31" s="111"/>
      <c r="N31" s="111"/>
      <c r="O31" s="111"/>
      <c r="P31" s="111"/>
      <c r="Q31" s="111"/>
    </row>
    <row r="32" spans="2:17" ht="18" customHeight="1">
      <c r="D32" s="23"/>
      <c r="E32" s="206"/>
      <c r="F32" s="24"/>
      <c r="G32" s="56" t="str">
        <f>IF($I32="","",EDATE(H32,-12))</f>
        <v/>
      </c>
      <c r="H32" s="56" t="str">
        <f>IF($I32="","",EDATE(I32,-12))</f>
        <v/>
      </c>
      <c r="I32" s="56" t="str">
        <f>IF($I$12="","",$I$12)</f>
        <v/>
      </c>
      <c r="J32" s="56" t="str">
        <f t="shared" ref="J32" si="2">IF($I32="","",EDATE(I32,12))</f>
        <v/>
      </c>
      <c r="K32" s="56" t="str">
        <f t="shared" ref="K32" si="3">IF($I32="","",EDATE(J32,12))</f>
        <v/>
      </c>
      <c r="L32" s="56" t="str">
        <f t="shared" ref="L32" si="4">IF($I32="","",EDATE(K32,12))</f>
        <v/>
      </c>
      <c r="M32" s="56" t="str">
        <f t="shared" ref="M32" si="5">IF($I32="","",EDATE(L32,12))</f>
        <v/>
      </c>
      <c r="N32" s="56" t="str">
        <f t="shared" ref="N32" si="6">IF($I32="","",EDATE(M32,12))</f>
        <v/>
      </c>
      <c r="O32" s="56" t="str">
        <f t="shared" ref="O32" si="7">IF($I32="","",EDATE(N32,12))</f>
        <v/>
      </c>
      <c r="P32" s="56" t="str">
        <f t="shared" ref="P32" si="8">IF($I32="","",EDATE(O32,12))</f>
        <v/>
      </c>
      <c r="Q32" s="56" t="str">
        <f t="shared" ref="Q32" si="9">IF($I32="","",EDATE(P32,12))</f>
        <v/>
      </c>
    </row>
    <row r="33" spans="2:22" ht="29.25" customHeight="1">
      <c r="D33" s="5" t="str">
        <f>MAX($B$15:B33)&amp;"-"&amp;COUNTA($D$32:D32)+1</f>
        <v>2-1</v>
      </c>
      <c r="E33" s="218" t="s">
        <v>192</v>
      </c>
      <c r="F33" s="18"/>
      <c r="G33" s="117"/>
      <c r="H33" s="117"/>
      <c r="I33" s="117"/>
      <c r="J33" s="117"/>
      <c r="K33" s="117"/>
      <c r="L33" s="117"/>
      <c r="M33" s="117"/>
      <c r="N33" s="117"/>
      <c r="O33" s="117"/>
      <c r="P33" s="117"/>
      <c r="Q33" s="117"/>
      <c r="S33" s="198"/>
      <c r="T33" s="198"/>
      <c r="U33" s="198"/>
      <c r="V33" s="198"/>
    </row>
    <row r="34" spans="2:22" ht="29.25" customHeight="1">
      <c r="D34" s="5" t="str">
        <f>MAX($B$15:B34)&amp;"-"&amp;COUNTA($D$32:D33)+1</f>
        <v>2-2</v>
      </c>
      <c r="E34" s="218" t="s">
        <v>193</v>
      </c>
      <c r="F34" s="18"/>
      <c r="G34" s="117"/>
      <c r="H34" s="117"/>
      <c r="I34" s="117"/>
      <c r="J34" s="117"/>
      <c r="K34" s="117"/>
      <c r="L34" s="117"/>
      <c r="M34" s="117"/>
      <c r="N34" s="117"/>
      <c r="O34" s="117"/>
      <c r="P34" s="117"/>
      <c r="Q34" s="117"/>
      <c r="S34" s="198"/>
      <c r="T34" s="198"/>
      <c r="U34" s="198"/>
      <c r="V34" s="198"/>
    </row>
    <row r="35" spans="2:22" ht="29.25" customHeight="1">
      <c r="D35" s="5" t="str">
        <f>MAX($B$15:B35)&amp;"-"&amp;COUNTA($D$32:D34)+1</f>
        <v>2-3</v>
      </c>
      <c r="E35" s="218" t="s">
        <v>194</v>
      </c>
      <c r="F35" s="18"/>
      <c r="G35" s="117"/>
      <c r="H35" s="117"/>
      <c r="I35" s="117"/>
      <c r="J35" s="117"/>
      <c r="K35" s="117"/>
      <c r="L35" s="117"/>
      <c r="M35" s="117"/>
      <c r="N35" s="117"/>
      <c r="O35" s="117"/>
      <c r="P35" s="117"/>
      <c r="Q35" s="117"/>
      <c r="S35" s="198"/>
      <c r="T35" s="198"/>
      <c r="U35" s="198"/>
      <c r="V35" s="198"/>
    </row>
    <row r="36" spans="2:22" ht="29.25" customHeight="1">
      <c r="D36" s="5" t="str">
        <f>MAX($B$15:B36)&amp;"-"&amp;COUNTA($D$32:D35)+1</f>
        <v>2-4</v>
      </c>
      <c r="E36" s="218" t="s">
        <v>195</v>
      </c>
      <c r="F36" s="18"/>
      <c r="G36" s="117"/>
      <c r="H36" s="117"/>
      <c r="I36" s="117"/>
      <c r="J36" s="117"/>
      <c r="K36" s="117"/>
      <c r="L36" s="117"/>
      <c r="M36" s="117"/>
      <c r="N36" s="117"/>
      <c r="O36" s="117"/>
      <c r="P36" s="117"/>
      <c r="Q36" s="117"/>
      <c r="S36" s="198"/>
      <c r="T36" s="198"/>
      <c r="U36" s="198"/>
      <c r="V36" s="198"/>
    </row>
    <row r="37" spans="2:22" ht="29.25" customHeight="1">
      <c r="C37" s="9"/>
      <c r="D37" s="5" t="str">
        <f>MAX($B$15:B37)&amp;"-"&amp;COUNTA($D$32:D36)+1</f>
        <v>2-5</v>
      </c>
      <c r="E37" s="218" t="s">
        <v>196</v>
      </c>
      <c r="F37" s="18"/>
      <c r="G37" s="117"/>
      <c r="H37" s="117"/>
      <c r="I37" s="117"/>
      <c r="J37" s="117"/>
      <c r="K37" s="117"/>
      <c r="L37" s="117"/>
      <c r="M37" s="117"/>
      <c r="N37" s="117"/>
      <c r="O37" s="117"/>
      <c r="P37" s="117"/>
      <c r="Q37" s="117"/>
    </row>
    <row r="38" spans="2:22" ht="29.25" customHeight="1">
      <c r="C38" s="9"/>
      <c r="D38" s="5" t="str">
        <f>MAX($B$15:B38)&amp;"-"&amp;COUNTA($D$32:D37)+1</f>
        <v>2-6</v>
      </c>
      <c r="E38" s="218" t="s">
        <v>197</v>
      </c>
      <c r="F38" s="18"/>
      <c r="G38" s="117"/>
      <c r="H38" s="117"/>
      <c r="I38" s="117"/>
      <c r="J38" s="117"/>
      <c r="K38" s="117"/>
      <c r="L38" s="117"/>
      <c r="M38" s="117"/>
      <c r="N38" s="117"/>
      <c r="O38" s="117"/>
      <c r="P38" s="117"/>
      <c r="Q38" s="117"/>
    </row>
    <row r="39" spans="2:22" ht="29.25" customHeight="1">
      <c r="C39" s="9"/>
      <c r="D39" s="7" t="str">
        <f>MAX($B$15:B39)&amp;"-"&amp;COUNTA($D$32:D38)+1</f>
        <v>2-7</v>
      </c>
      <c r="E39" s="219" t="s">
        <v>198</v>
      </c>
      <c r="F39" s="20"/>
      <c r="G39" s="12">
        <f>+G35+G36+G37+G38</f>
        <v>0</v>
      </c>
      <c r="H39" s="13">
        <f>+H35+H36+H37+H38</f>
        <v>0</v>
      </c>
      <c r="I39" s="15">
        <f>+I35+I36+I37+I38</f>
        <v>0</v>
      </c>
      <c r="J39" s="13">
        <f>+J35+J36+J37+J38</f>
        <v>0</v>
      </c>
      <c r="K39" s="13">
        <f>+K35+K36+K37+K38</f>
        <v>0</v>
      </c>
      <c r="L39" s="13">
        <f t="shared" ref="L39:P39" si="10">+L35+L36+L37+L38</f>
        <v>0</v>
      </c>
      <c r="M39" s="13">
        <f>+M35+M36+M37+M38</f>
        <v>0</v>
      </c>
      <c r="N39" s="13">
        <f t="shared" si="10"/>
        <v>0</v>
      </c>
      <c r="O39" s="13">
        <f t="shared" si="10"/>
        <v>0</v>
      </c>
      <c r="P39" s="13">
        <f t="shared" si="10"/>
        <v>0</v>
      </c>
      <c r="Q39" s="13">
        <f>+Q35+Q36+Q37+Q38</f>
        <v>0</v>
      </c>
    </row>
    <row r="40" spans="2:22" ht="29.25" customHeight="1">
      <c r="C40" s="9"/>
      <c r="D40" s="5" t="str">
        <f>MAX($B$15:B40)&amp;"-"&amp;COUNTA($D$32:D39)+1</f>
        <v>2-8</v>
      </c>
      <c r="E40" s="220" t="s">
        <v>199</v>
      </c>
      <c r="F40" s="19" t="s">
        <v>200</v>
      </c>
      <c r="G40" s="207"/>
      <c r="H40" s="207"/>
      <c r="I40" s="207"/>
      <c r="J40" s="207"/>
      <c r="K40" s="207"/>
      <c r="L40" s="207"/>
      <c r="M40" s="207"/>
      <c r="N40" s="207"/>
      <c r="O40" s="207"/>
      <c r="P40" s="207"/>
      <c r="Q40" s="207"/>
    </row>
    <row r="41" spans="2:22" ht="29.25" customHeight="1">
      <c r="C41" s="9"/>
      <c r="D41" s="5" t="str">
        <f>MAX($B$15:B41)&amp;"-"&amp;COUNTA($D$32:D40)+1</f>
        <v>2-9</v>
      </c>
      <c r="E41" s="220" t="s">
        <v>201</v>
      </c>
      <c r="F41" s="18" t="s">
        <v>200</v>
      </c>
      <c r="G41" s="207"/>
      <c r="H41" s="207"/>
      <c r="I41" s="207"/>
      <c r="J41" s="207"/>
      <c r="K41" s="207"/>
      <c r="L41" s="207"/>
      <c r="M41" s="207"/>
      <c r="N41" s="207"/>
      <c r="O41" s="207"/>
      <c r="P41" s="207"/>
      <c r="Q41" s="207"/>
    </row>
    <row r="42" spans="2:22" ht="29.25" customHeight="1">
      <c r="C42" s="9"/>
      <c r="D42" s="7" t="str">
        <f>MAX($B$15:B42)&amp;"-"&amp;COUNTA($D$32:D41)+1</f>
        <v>2-10</v>
      </c>
      <c r="E42" s="219" t="s">
        <v>202</v>
      </c>
      <c r="F42" s="21"/>
      <c r="G42" s="12">
        <f>IFERROR(IF(G40=0,0,+G36/G40),"")</f>
        <v>0</v>
      </c>
      <c r="H42" s="13">
        <f>IFERROR(IF(H40=0,0,+H36/H40),"")</f>
        <v>0</v>
      </c>
      <c r="I42" s="15">
        <f t="shared" ref="I42:Q42" si="11">IFERROR(IF(I40=0,0,+I36/I40),"")</f>
        <v>0</v>
      </c>
      <c r="J42" s="13">
        <f t="shared" si="11"/>
        <v>0</v>
      </c>
      <c r="K42" s="13">
        <f t="shared" si="11"/>
        <v>0</v>
      </c>
      <c r="L42" s="13">
        <f t="shared" si="11"/>
        <v>0</v>
      </c>
      <c r="M42" s="13">
        <f t="shared" si="11"/>
        <v>0</v>
      </c>
      <c r="N42" s="13">
        <f t="shared" si="11"/>
        <v>0</v>
      </c>
      <c r="O42" s="13">
        <f t="shared" si="11"/>
        <v>0</v>
      </c>
      <c r="P42" s="13">
        <f t="shared" si="11"/>
        <v>0</v>
      </c>
      <c r="Q42" s="13">
        <f t="shared" si="11"/>
        <v>0</v>
      </c>
    </row>
    <row r="43" spans="2:22" ht="29.25" customHeight="1">
      <c r="C43" s="9"/>
      <c r="D43" s="7" t="str">
        <f>MAX($B$15:B43)&amp;"-"&amp;COUNTA($D$32:D42)+1</f>
        <v>2-11</v>
      </c>
      <c r="E43" s="219" t="s">
        <v>203</v>
      </c>
      <c r="F43" s="21" t="s">
        <v>204</v>
      </c>
      <c r="G43" s="234"/>
      <c r="H43" s="45" t="str">
        <f>IFERROR((H42-G42)/G42,"")</f>
        <v/>
      </c>
      <c r="I43" s="46" t="str">
        <f t="shared" ref="I43:Q43" si="12">IFERROR((I42-H42)/H42,"")</f>
        <v/>
      </c>
      <c r="J43" s="45" t="str">
        <f t="shared" si="12"/>
        <v/>
      </c>
      <c r="K43" s="45" t="str">
        <f t="shared" si="12"/>
        <v/>
      </c>
      <c r="L43" s="45" t="str">
        <f t="shared" si="12"/>
        <v/>
      </c>
      <c r="M43" s="45" t="str">
        <f t="shared" si="12"/>
        <v/>
      </c>
      <c r="N43" s="45" t="str">
        <f t="shared" si="12"/>
        <v/>
      </c>
      <c r="O43" s="45" t="str">
        <f t="shared" si="12"/>
        <v/>
      </c>
      <c r="P43" s="45" t="str">
        <f t="shared" si="12"/>
        <v/>
      </c>
      <c r="Q43" s="45" t="str">
        <f t="shared" si="12"/>
        <v/>
      </c>
    </row>
    <row r="44" spans="2:22" ht="29.25" customHeight="1">
      <c r="C44" s="9"/>
      <c r="D44" s="7" t="str">
        <f>MAX($B$15:B44)&amp;"-"&amp;COUNTA($D$32:D43)+1</f>
        <v>2-12</v>
      </c>
      <c r="E44" s="219" t="s">
        <v>205</v>
      </c>
      <c r="F44" s="20"/>
      <c r="G44" s="62">
        <f>IFERROR(IF(G41=0,0,+G37/G41),"")</f>
        <v>0</v>
      </c>
      <c r="H44" s="63">
        <f t="shared" ref="H44:Q44" si="13">IFERROR(IF(H41=0,0,+H37/H41),"")</f>
        <v>0</v>
      </c>
      <c r="I44" s="64">
        <f t="shared" si="13"/>
        <v>0</v>
      </c>
      <c r="J44" s="63">
        <f t="shared" si="13"/>
        <v>0</v>
      </c>
      <c r="K44" s="63">
        <f t="shared" si="13"/>
        <v>0</v>
      </c>
      <c r="L44" s="63">
        <f t="shared" si="13"/>
        <v>0</v>
      </c>
      <c r="M44" s="63">
        <f t="shared" si="13"/>
        <v>0</v>
      </c>
      <c r="N44" s="63">
        <f t="shared" si="13"/>
        <v>0</v>
      </c>
      <c r="O44" s="63">
        <f t="shared" si="13"/>
        <v>0</v>
      </c>
      <c r="P44" s="13">
        <f t="shared" si="13"/>
        <v>0</v>
      </c>
      <c r="Q44" s="13">
        <f t="shared" si="13"/>
        <v>0</v>
      </c>
    </row>
    <row r="45" spans="2:22" ht="29.25" customHeight="1">
      <c r="C45" s="9"/>
      <c r="D45" s="7" t="str">
        <f>MAX($B$15:B45)&amp;"-"&amp;COUNTA($D$32:D44)+1</f>
        <v>2-13</v>
      </c>
      <c r="E45" s="219" t="s">
        <v>206</v>
      </c>
      <c r="F45" s="20" t="s">
        <v>207</v>
      </c>
      <c r="G45" s="235"/>
      <c r="H45" s="45" t="str">
        <f>IFERROR((H44-G44)/G44,"")</f>
        <v/>
      </c>
      <c r="I45" s="46" t="str">
        <f>IFERROR((I44-H44)/H44,"")</f>
        <v/>
      </c>
      <c r="J45" s="45" t="str">
        <f>IFERROR((J44-I44)/I44,"")</f>
        <v/>
      </c>
      <c r="K45" s="45" t="str">
        <f t="shared" ref="K45:Q45" si="14">IFERROR((K44-J44)/J44,"")</f>
        <v/>
      </c>
      <c r="L45" s="45" t="str">
        <f t="shared" si="14"/>
        <v/>
      </c>
      <c r="M45" s="45" t="str">
        <f t="shared" si="14"/>
        <v/>
      </c>
      <c r="N45" s="45" t="str">
        <f t="shared" si="14"/>
        <v/>
      </c>
      <c r="O45" s="45" t="str">
        <f t="shared" si="14"/>
        <v/>
      </c>
      <c r="P45" s="45" t="str">
        <f t="shared" si="14"/>
        <v/>
      </c>
      <c r="Q45" s="45" t="str">
        <f t="shared" si="14"/>
        <v/>
      </c>
    </row>
    <row r="46" spans="2:22" ht="29.25" customHeight="1">
      <c r="C46" s="9"/>
      <c r="D46" s="7" t="str">
        <f>MAX($B$15:B46)&amp;"-"&amp;COUNTA($D$32:D45)+1</f>
        <v>2-14</v>
      </c>
      <c r="E46" s="219" t="s">
        <v>208</v>
      </c>
      <c r="F46" s="21"/>
      <c r="G46" s="12" t="str">
        <f>IFERROR(+G39/(G40+G41),"")</f>
        <v/>
      </c>
      <c r="H46" s="13" t="str">
        <f t="shared" ref="H46:Q46" si="15">IFERROR(+H39/(H40+H41),"")</f>
        <v/>
      </c>
      <c r="I46" s="15" t="str">
        <f t="shared" si="15"/>
        <v/>
      </c>
      <c r="J46" s="13" t="str">
        <f t="shared" si="15"/>
        <v/>
      </c>
      <c r="K46" s="13" t="str">
        <f t="shared" si="15"/>
        <v/>
      </c>
      <c r="L46" s="13" t="str">
        <f t="shared" si="15"/>
        <v/>
      </c>
      <c r="M46" s="13" t="str">
        <f t="shared" si="15"/>
        <v/>
      </c>
      <c r="N46" s="13" t="str">
        <f t="shared" si="15"/>
        <v/>
      </c>
      <c r="O46" s="13" t="str">
        <f t="shared" si="15"/>
        <v/>
      </c>
      <c r="P46" s="13" t="str">
        <f t="shared" si="15"/>
        <v/>
      </c>
      <c r="Q46" s="13" t="str">
        <f t="shared" si="15"/>
        <v/>
      </c>
    </row>
    <row r="47" spans="2:22">
      <c r="D47" s="33"/>
      <c r="E47" s="181"/>
      <c r="F47" s="32"/>
      <c r="G47" s="32"/>
      <c r="H47" s="32"/>
      <c r="I47" s="32"/>
      <c r="J47" s="32"/>
      <c r="K47" s="32"/>
      <c r="L47" s="32"/>
      <c r="M47" s="32"/>
      <c r="N47" s="32"/>
      <c r="O47" s="32"/>
      <c r="P47" s="32"/>
    </row>
    <row r="48" spans="2:22">
      <c r="B48" s="49">
        <f>MAX($B$14:B47)+1</f>
        <v>3</v>
      </c>
      <c r="C48" s="43" t="s">
        <v>209</v>
      </c>
      <c r="D48" s="23"/>
      <c r="E48" s="206"/>
      <c r="F48" s="24"/>
      <c r="G48" s="11"/>
      <c r="H48" s="11"/>
      <c r="I48" s="11"/>
      <c r="J48" s="11"/>
      <c r="K48" s="11"/>
      <c r="L48" s="11"/>
      <c r="M48" s="11"/>
      <c r="N48" s="11"/>
      <c r="O48" s="11"/>
      <c r="P48" s="11"/>
    </row>
    <row r="49" spans="2:19" ht="29.25" customHeight="1">
      <c r="C49" s="32"/>
      <c r="D49" s="5" t="str">
        <f>MAX($B$15:B49)&amp;"-"&amp;COUNTA($D$48:D48)+1</f>
        <v>3-1</v>
      </c>
      <c r="E49" s="218" t="s">
        <v>210</v>
      </c>
      <c r="F49" s="18" t="s">
        <v>211</v>
      </c>
      <c r="G49" s="117"/>
      <c r="H49" s="91"/>
      <c r="I49" s="118"/>
      <c r="J49" s="118"/>
      <c r="K49" s="118"/>
      <c r="L49" s="118"/>
      <c r="M49" s="118"/>
      <c r="N49" s="118"/>
      <c r="O49" s="118"/>
      <c r="P49" s="118"/>
      <c r="Q49" s="91"/>
      <c r="R49" s="58" t="s">
        <v>212</v>
      </c>
      <c r="S49" s="58"/>
    </row>
    <row r="50" spans="2:19" ht="29.25" customHeight="1">
      <c r="D50" s="5" t="str">
        <f>MAX($B$15:B50)&amp;"-"&amp;COUNTA($D$48:D49)+1</f>
        <v>3-2</v>
      </c>
      <c r="E50" s="218" t="s">
        <v>213</v>
      </c>
      <c r="F50" s="18" t="s">
        <v>211</v>
      </c>
      <c r="G50" s="117"/>
      <c r="H50" s="91"/>
      <c r="I50" s="118"/>
      <c r="J50" s="118"/>
      <c r="K50" s="118"/>
      <c r="L50" s="118"/>
      <c r="M50" s="118"/>
      <c r="N50" s="118"/>
      <c r="O50" s="118"/>
      <c r="P50" s="118"/>
      <c r="Q50" s="91"/>
      <c r="R50" s="58" t="s">
        <v>214</v>
      </c>
    </row>
    <row r="51" spans="2:19" ht="29.25" customHeight="1">
      <c r="D51" s="5" t="str">
        <f>MAX($B$15:B51)&amp;"-"&amp;COUNTA($D$48:D50)+1</f>
        <v>3-3</v>
      </c>
      <c r="E51" s="218" t="s">
        <v>215</v>
      </c>
      <c r="F51" s="18" t="s">
        <v>211</v>
      </c>
      <c r="G51" s="117"/>
      <c r="H51" s="91"/>
      <c r="I51" s="118"/>
      <c r="J51" s="16"/>
      <c r="K51" s="16"/>
      <c r="L51" s="16"/>
      <c r="M51" s="16"/>
      <c r="N51" s="16"/>
      <c r="O51" s="16"/>
      <c r="P51" s="16"/>
      <c r="Q51" s="16"/>
      <c r="R51" s="58" t="s">
        <v>216</v>
      </c>
      <c r="S51" s="58"/>
    </row>
    <row r="52" spans="2:19" ht="29.25" customHeight="1">
      <c r="D52" s="5" t="str">
        <f>MAX($B$15:B52)&amp;"-"&amp;COUNTA($D$48:D51)+1</f>
        <v>3-4</v>
      </c>
      <c r="E52" s="218" t="s">
        <v>217</v>
      </c>
      <c r="F52" s="18" t="s">
        <v>211</v>
      </c>
      <c r="G52" s="117"/>
      <c r="H52" s="91"/>
      <c r="I52" s="118"/>
      <c r="J52" s="16"/>
      <c r="K52" s="16"/>
      <c r="L52" s="16"/>
      <c r="M52" s="16"/>
      <c r="N52" s="16"/>
      <c r="O52" s="16"/>
      <c r="P52" s="16"/>
      <c r="Q52" s="16"/>
      <c r="R52" s="58" t="s">
        <v>218</v>
      </c>
    </row>
    <row r="53" spans="2:19">
      <c r="E53" s="221"/>
      <c r="F53" s="6"/>
    </row>
    <row r="54" spans="2:19">
      <c r="B54" s="49">
        <f>MAX($B$14:B53)+1</f>
        <v>4</v>
      </c>
      <c r="C54" s="43" t="s">
        <v>219</v>
      </c>
      <c r="E54" s="221"/>
      <c r="F54" s="198"/>
    </row>
    <row r="55" spans="2:19" ht="29.25" customHeight="1">
      <c r="D55" s="5" t="str">
        <f>MAX($B$15:B60)&amp;"-"&amp;COUNTA($D$54:D54)+1</f>
        <v>4-1</v>
      </c>
      <c r="E55" s="187" t="s">
        <v>220</v>
      </c>
      <c r="F55" s="26" t="s">
        <v>221</v>
      </c>
      <c r="G55" s="239"/>
      <c r="I55" s="198"/>
      <c r="J55" s="198"/>
      <c r="K55" s="198"/>
      <c r="L55" s="198"/>
    </row>
    <row r="56" spans="2:19" ht="29.25" customHeight="1">
      <c r="D56" s="5" t="str">
        <f>MAX($B$15:B61)&amp;"-"&amp;COUNTA($D$54:D55)+1</f>
        <v>4-2</v>
      </c>
      <c r="E56" s="187" t="s">
        <v>222</v>
      </c>
      <c r="F56" s="243" t="s">
        <v>221</v>
      </c>
      <c r="G56" s="244"/>
      <c r="I56" s="198"/>
      <c r="J56" s="198"/>
      <c r="K56" s="198"/>
      <c r="L56" s="198"/>
      <c r="M56" s="44"/>
    </row>
    <row r="57" spans="2:19" ht="29.25" customHeight="1">
      <c r="D57" s="5" t="str">
        <f>MAX($B$15:B61)&amp;"-"&amp;COUNTA($D$54:D56)+1</f>
        <v>4-3</v>
      </c>
      <c r="E57" s="238" t="s">
        <v>223</v>
      </c>
      <c r="F57" s="26" t="s">
        <v>207</v>
      </c>
      <c r="G57" s="240"/>
      <c r="I57" s="198"/>
      <c r="J57" s="198"/>
      <c r="K57" s="198"/>
      <c r="L57" s="198"/>
    </row>
    <row r="58" spans="2:19" ht="29.25" customHeight="1">
      <c r="D58" s="5" t="str">
        <f>MAX($B$15:B57)&amp;"-"&amp;COUNTA($D$54:D57)+1</f>
        <v>4-4</v>
      </c>
      <c r="E58" s="238" t="s">
        <v>224</v>
      </c>
      <c r="F58" s="243" t="s">
        <v>207</v>
      </c>
      <c r="G58" s="245"/>
      <c r="H58" s="44"/>
      <c r="I58" s="198"/>
      <c r="J58" s="198"/>
      <c r="K58" s="198"/>
      <c r="L58" s="198"/>
    </row>
    <row r="59" spans="2:19" ht="29.25" customHeight="1">
      <c r="D59" s="5" t="str">
        <f>MAX($B$15:B58)&amp;"-"&amp;COUNTA($D$54:D58)+1</f>
        <v>4-5</v>
      </c>
      <c r="E59" s="187" t="s">
        <v>225</v>
      </c>
      <c r="F59" s="26" t="s">
        <v>207</v>
      </c>
      <c r="G59" s="240"/>
      <c r="I59" s="198"/>
      <c r="J59" s="198"/>
      <c r="K59" s="198"/>
      <c r="L59" s="198"/>
    </row>
    <row r="60" spans="2:19" ht="29.25" customHeight="1">
      <c r="D60" s="5" t="str">
        <f>MAX($B$15:B59)&amp;"-"&amp;COUNTA($D$54:D59)+1</f>
        <v>4-6</v>
      </c>
      <c r="E60" s="187" t="s">
        <v>226</v>
      </c>
      <c r="F60" s="243" t="s">
        <v>207</v>
      </c>
      <c r="G60" s="245"/>
      <c r="I60" s="198"/>
      <c r="J60" s="198"/>
      <c r="K60" s="198"/>
      <c r="L60" s="198"/>
    </row>
    <row r="61" spans="2:19">
      <c r="E61" s="1"/>
    </row>
    <row r="62" spans="2:19">
      <c r="B62" s="49">
        <f>MAX($B$14:B61)+1</f>
        <v>5</v>
      </c>
      <c r="C62" s="42" t="s">
        <v>227</v>
      </c>
    </row>
    <row r="63" spans="2:19">
      <c r="B63" s="49"/>
      <c r="C63" s="192" t="s">
        <v>228</v>
      </c>
      <c r="D63" s="258"/>
      <c r="E63" s="222"/>
      <c r="F63" s="58"/>
      <c r="G63" s="58"/>
      <c r="H63" s="58"/>
      <c r="I63" s="58"/>
      <c r="J63" s="58"/>
    </row>
    <row r="64" spans="2:19">
      <c r="B64" s="49"/>
      <c r="C64" s="192" t="s">
        <v>229</v>
      </c>
      <c r="D64" s="258"/>
      <c r="E64" s="222"/>
      <c r="F64" s="58"/>
      <c r="G64" s="58"/>
      <c r="H64" s="58"/>
      <c r="I64" s="58"/>
      <c r="J64" s="58"/>
    </row>
    <row r="65" spans="3:14" ht="29.25" customHeight="1">
      <c r="C65" s="32"/>
      <c r="D65" s="5" t="str">
        <f>MAX($B$15:B65)&amp;"-"&amp;COUNTA($D$62:D62)+1</f>
        <v>5-1</v>
      </c>
      <c r="E65" s="218" t="s">
        <v>230</v>
      </c>
      <c r="F65" s="18" t="s">
        <v>231</v>
      </c>
      <c r="G65" s="249"/>
      <c r="K65" s="97" t="s">
        <v>232</v>
      </c>
      <c r="L65" s="198"/>
      <c r="M65" s="198"/>
      <c r="N65" s="97"/>
    </row>
    <row r="66" spans="3:14" ht="29.25" customHeight="1">
      <c r="D66" s="5" t="str">
        <f>MAX($B$15:B66)&amp;"-"&amp;COUNTA($D$62:D65)+1</f>
        <v>5-2</v>
      </c>
      <c r="E66" s="218" t="s">
        <v>233</v>
      </c>
      <c r="F66" s="18" t="s">
        <v>231</v>
      </c>
      <c r="G66" s="249"/>
      <c r="K66" s="97" t="s">
        <v>234</v>
      </c>
      <c r="L66" s="198"/>
      <c r="M66" s="198"/>
      <c r="N66" s="97"/>
    </row>
    <row r="67" spans="3:14" ht="29.25" customHeight="1">
      <c r="D67" s="5" t="str">
        <f>MAX($B$15:B67)&amp;"-"&amp;COUNTA($D$62:D66)+1</f>
        <v>5-3</v>
      </c>
      <c r="E67" s="206" t="s">
        <v>235</v>
      </c>
      <c r="F67" s="18" t="s">
        <v>231</v>
      </c>
      <c r="G67" s="249"/>
      <c r="K67" s="192" t="s">
        <v>236</v>
      </c>
      <c r="L67" s="198"/>
      <c r="M67" s="198"/>
      <c r="N67" s="192"/>
    </row>
    <row r="68" spans="3:14" ht="36" customHeight="1">
      <c r="D68" s="5" t="str">
        <f>MAX($B$15:B68)&amp;"-"&amp;COUNTA($D$62:D67)+1</f>
        <v>5-4</v>
      </c>
      <c r="E68" s="206" t="s">
        <v>237</v>
      </c>
      <c r="F68" s="18" t="s">
        <v>231</v>
      </c>
      <c r="G68" s="249"/>
      <c r="H68" s="260" t="s">
        <v>238</v>
      </c>
      <c r="K68" s="192" t="s">
        <v>239</v>
      </c>
      <c r="N68" s="192"/>
    </row>
    <row r="69" spans="3:14" ht="36" customHeight="1">
      <c r="D69" s="5" t="str">
        <f>MAX($B$15:B69)&amp;"-"&amp;COUNTA($D$62:D68)+1</f>
        <v>5-5</v>
      </c>
      <c r="E69" s="236" t="s">
        <v>240</v>
      </c>
      <c r="F69" s="18" t="s">
        <v>231</v>
      </c>
      <c r="G69" s="249"/>
      <c r="H69" s="260" t="s">
        <v>238</v>
      </c>
      <c r="K69" s="192" t="s">
        <v>241</v>
      </c>
      <c r="N69" s="192"/>
    </row>
    <row r="70" spans="3:14" ht="36" customHeight="1">
      <c r="D70" s="5" t="str">
        <f>MAX($B$15:B70)&amp;"-"&amp;COUNTA($D$62:D69)+1</f>
        <v>5-6</v>
      </c>
      <c r="E70" s="187" t="s">
        <v>242</v>
      </c>
      <c r="F70" s="18" t="s">
        <v>231</v>
      </c>
      <c r="G70" s="255"/>
      <c r="H70" s="261"/>
      <c r="I70" s="267"/>
      <c r="J70" s="267"/>
      <c r="K70" s="192" t="s">
        <v>243</v>
      </c>
      <c r="L70" s="267"/>
      <c r="N70" s="192"/>
    </row>
    <row r="71" spans="3:14" ht="36" customHeight="1">
      <c r="D71" s="5"/>
      <c r="E71" s="257" t="s">
        <v>244</v>
      </c>
      <c r="F71" s="18" t="s">
        <v>245</v>
      </c>
      <c r="G71" s="260" t="s">
        <v>246</v>
      </c>
      <c r="H71" s="262" t="s">
        <v>247</v>
      </c>
      <c r="I71" s="263"/>
      <c r="J71" s="263"/>
      <c r="K71" s="263"/>
      <c r="L71" s="264"/>
      <c r="N71" s="192"/>
    </row>
    <row r="72" spans="3:14" ht="36" customHeight="1">
      <c r="D72" s="5"/>
      <c r="E72" s="187" t="s">
        <v>248</v>
      </c>
      <c r="F72" s="18" t="s">
        <v>249</v>
      </c>
      <c r="G72" s="260" t="s">
        <v>250</v>
      </c>
      <c r="H72" s="262" t="s">
        <v>247</v>
      </c>
      <c r="I72" s="263"/>
      <c r="J72" s="263"/>
      <c r="K72" s="263"/>
      <c r="L72" s="264"/>
      <c r="N72" s="192"/>
    </row>
    <row r="73" spans="3:14" ht="36" customHeight="1">
      <c r="D73" s="5"/>
      <c r="E73" s="187"/>
      <c r="F73" s="18" t="s">
        <v>251</v>
      </c>
      <c r="G73" s="260" t="s">
        <v>250</v>
      </c>
      <c r="H73" s="262" t="s">
        <v>247</v>
      </c>
      <c r="I73" s="263"/>
      <c r="J73" s="263"/>
      <c r="K73" s="263"/>
      <c r="L73" s="264"/>
      <c r="N73" s="192"/>
    </row>
    <row r="74" spans="3:14" ht="36" customHeight="1">
      <c r="D74" s="5"/>
      <c r="E74" s="187"/>
      <c r="F74" s="18" t="s">
        <v>252</v>
      </c>
      <c r="G74" s="260" t="s">
        <v>250</v>
      </c>
      <c r="H74" s="262" t="s">
        <v>247</v>
      </c>
      <c r="I74" s="263"/>
      <c r="J74" s="263"/>
      <c r="K74" s="263"/>
      <c r="L74" s="264"/>
      <c r="N74" s="192"/>
    </row>
    <row r="75" spans="3:14" ht="36" customHeight="1">
      <c r="D75" s="5"/>
      <c r="E75" s="187"/>
      <c r="F75" s="18" t="s">
        <v>253</v>
      </c>
      <c r="G75" s="260" t="s">
        <v>250</v>
      </c>
      <c r="H75" s="262" t="s">
        <v>247</v>
      </c>
      <c r="I75" s="263"/>
      <c r="J75" s="263"/>
      <c r="K75" s="263"/>
      <c r="L75" s="264"/>
      <c r="N75" s="192"/>
    </row>
    <row r="76" spans="3:14" ht="29.25" customHeight="1">
      <c r="D76" s="5" t="str">
        <f>MAX($B$15:B76)&amp;"-"&amp;COUNTA($D$62:D70)+1</f>
        <v>5-7</v>
      </c>
      <c r="E76" s="236" t="s">
        <v>254</v>
      </c>
      <c r="F76" s="18" t="s">
        <v>231</v>
      </c>
      <c r="G76" s="90"/>
      <c r="H76" s="256"/>
    </row>
    <row r="77" spans="3:14" ht="29.25" customHeight="1">
      <c r="D77" s="5" t="str">
        <f>MAX($B$15:B77)&amp;"-"&amp;COUNTA($D$62:D76)+1</f>
        <v>5-8</v>
      </c>
      <c r="E77" s="236" t="s">
        <v>255</v>
      </c>
      <c r="F77" s="18" t="s">
        <v>231</v>
      </c>
      <c r="G77" s="247"/>
      <c r="H77" s="192"/>
    </row>
    <row r="78" spans="3:14" ht="29.25" customHeight="1">
      <c r="D78" s="5" t="str">
        <f>MAX($B$15:B78)&amp;"-"&amp;COUNTA($D$62:D77)+1</f>
        <v>5-9</v>
      </c>
      <c r="E78" s="237" t="s">
        <v>256</v>
      </c>
      <c r="F78" s="51" t="s">
        <v>231</v>
      </c>
      <c r="G78" s="248"/>
    </row>
    <row r="79" spans="3:14" ht="36" customHeight="1">
      <c r="D79" s="5" t="str">
        <f>MAX($B$15:B79)&amp;"-"&amp;COUNTA($D$62:D78)+1</f>
        <v>5-10</v>
      </c>
      <c r="E79" s="206" t="s">
        <v>257</v>
      </c>
      <c r="F79" s="18" t="s">
        <v>258</v>
      </c>
      <c r="G79" s="233"/>
    </row>
    <row r="80" spans="3:14">
      <c r="D80" s="192" t="s">
        <v>259</v>
      </c>
      <c r="E80" s="222"/>
      <c r="F80" s="6"/>
      <c r="G80" s="202"/>
      <c r="H80" s="202"/>
      <c r="I80" s="202"/>
      <c r="J80" s="202"/>
    </row>
    <row r="81" spans="2:17">
      <c r="E81" s="221"/>
      <c r="F81" s="6"/>
      <c r="G81" s="202"/>
      <c r="H81" s="202"/>
      <c r="I81" s="202"/>
      <c r="J81" s="202"/>
    </row>
    <row r="82" spans="2:17" ht="33">
      <c r="B82" s="17" t="s">
        <v>260</v>
      </c>
      <c r="D82" s="1"/>
      <c r="G82" s="202"/>
      <c r="H82" s="202"/>
      <c r="I82" s="202"/>
      <c r="J82" s="202"/>
      <c r="K82" s="297" t="s">
        <v>261</v>
      </c>
      <c r="L82" s="297"/>
      <c r="M82" s="297"/>
      <c r="N82" s="297"/>
      <c r="O82" s="174"/>
      <c r="P82" s="175" t="s">
        <v>262</v>
      </c>
      <c r="Q82" s="47" t="s">
        <v>263</v>
      </c>
    </row>
    <row r="83" spans="2:17">
      <c r="B83" s="49">
        <f>MAX($B$14:B82)+1</f>
        <v>6</v>
      </c>
      <c r="C83" s="42" t="s">
        <v>264</v>
      </c>
      <c r="D83" s="4"/>
      <c r="E83" s="221"/>
      <c r="F83" s="6"/>
      <c r="G83" s="202"/>
      <c r="H83" s="202"/>
      <c r="I83" s="202"/>
      <c r="J83" s="202"/>
      <c r="K83" s="297"/>
      <c r="L83" s="297"/>
      <c r="M83" s="297"/>
      <c r="N83" s="297"/>
      <c r="O83" s="107" t="s">
        <v>265</v>
      </c>
      <c r="P83" s="110" t="str">
        <f>IF(AND(COUNTA($G95:$Q95)&gt;0,SUMIF($G95:$Q95,"&lt;&gt;"&amp;"")=0),"－",IFERROR(((HLOOKUP(EDATE($F$13,36),$G87:$Q100,11,FALSE))/(HLOOKUP(EDATE($F$13,0),$G87:$Q100,11,FALSE)))^(1/3)-1,""))</f>
        <v/>
      </c>
      <c r="Q83" s="298">
        <v>4.4999999999999998E-2</v>
      </c>
    </row>
    <row r="84" spans="2:17">
      <c r="B84" s="49"/>
      <c r="C84" s="109"/>
      <c r="D84" s="4"/>
      <c r="E84" s="221"/>
      <c r="F84" s="6"/>
      <c r="G84" s="202"/>
      <c r="H84" s="202"/>
      <c r="I84" s="202"/>
      <c r="J84" s="202"/>
      <c r="K84" s="297"/>
      <c r="L84" s="297"/>
      <c r="M84" s="297"/>
      <c r="N84" s="297"/>
      <c r="O84" s="107" t="s">
        <v>266</v>
      </c>
      <c r="P84" s="107" t="str">
        <f>IF(AND(COUNTA($G96:$Q96)&gt;0,SUMIF($G96:$Q96,"&lt;&gt;"&amp;"")=0),"－",IFERROR(((HLOOKUP(EDATE($F$13,36),$G87:$Q100,13,FALSE))/(HLOOKUP(EDATE($F$13,0),$G87:$Q100,13,FALSE)))^(1/3)-1,""))</f>
        <v/>
      </c>
      <c r="Q84" s="299"/>
    </row>
    <row r="85" spans="2:17">
      <c r="B85" s="49"/>
      <c r="C85" s="109"/>
      <c r="D85" s="4"/>
      <c r="E85" s="221"/>
      <c r="F85" s="6"/>
      <c r="G85" s="202"/>
      <c r="H85" s="202"/>
      <c r="I85" s="202"/>
      <c r="J85" s="202"/>
      <c r="K85" s="202"/>
      <c r="L85" s="202"/>
      <c r="M85" s="202"/>
      <c r="N85" s="202"/>
      <c r="O85" s="202"/>
    </row>
    <row r="86" spans="2:17">
      <c r="B86" s="49"/>
      <c r="C86" s="109"/>
      <c r="D86" s="4"/>
      <c r="E86" s="221"/>
      <c r="F86" s="6"/>
      <c r="G86" s="57" t="s">
        <v>170</v>
      </c>
      <c r="H86" s="57" t="s">
        <v>171</v>
      </c>
      <c r="I86" s="57" t="s">
        <v>172</v>
      </c>
      <c r="J86" s="111" t="s">
        <v>173</v>
      </c>
      <c r="K86" s="111"/>
      <c r="L86" s="111"/>
      <c r="M86" s="111"/>
      <c r="N86" s="111"/>
      <c r="O86" s="111"/>
      <c r="P86" s="111"/>
      <c r="Q86" s="111"/>
    </row>
    <row r="87" spans="2:17">
      <c r="B87" s="49"/>
      <c r="C87" s="109"/>
      <c r="D87" s="4"/>
      <c r="E87" s="221"/>
      <c r="F87" s="6"/>
      <c r="G87" s="56" t="str">
        <f>IF($I87="","",EDATE(H87,-12))</f>
        <v/>
      </c>
      <c r="H87" s="56" t="str">
        <f>IF($I87="","",EDATE(I87,-12))</f>
        <v/>
      </c>
      <c r="I87" s="56" t="str">
        <f>IF($I$12="","",$I$12)</f>
        <v/>
      </c>
      <c r="J87" s="56" t="str">
        <f t="shared" ref="J87" si="16">IF($I87="","",EDATE(I87,12))</f>
        <v/>
      </c>
      <c r="K87" s="56" t="str">
        <f t="shared" ref="K87" si="17">IF($I87="","",EDATE(J87,12))</f>
        <v/>
      </c>
      <c r="L87" s="56" t="str">
        <f t="shared" ref="L87" si="18">IF($I87="","",EDATE(K87,12))</f>
        <v/>
      </c>
      <c r="M87" s="56" t="str">
        <f t="shared" ref="M87" si="19">IF($I87="","",EDATE(L87,12))</f>
        <v/>
      </c>
      <c r="N87" s="56" t="str">
        <f t="shared" ref="N87" si="20">IF($I87="","",EDATE(M87,12))</f>
        <v/>
      </c>
      <c r="O87" s="56" t="str">
        <f t="shared" ref="O87" si="21">IF($I87="","",EDATE(N87,12))</f>
        <v/>
      </c>
      <c r="P87" s="56" t="str">
        <f t="shared" ref="P87" si="22">IF($I87="","",EDATE(O87,12))</f>
        <v/>
      </c>
      <c r="Q87" s="56" t="str">
        <f t="shared" ref="Q87" si="23">IF($I87="","",EDATE(P87,12))</f>
        <v/>
      </c>
    </row>
    <row r="88" spans="2:17" ht="29.25" customHeight="1">
      <c r="C88" s="32"/>
      <c r="D88" s="5" t="str">
        <f>MAX($B$15:B88)&amp;"-"&amp;COUNTA($D$83:D83)+1</f>
        <v>6-1</v>
      </c>
      <c r="E88" s="218" t="s">
        <v>192</v>
      </c>
      <c r="F88" s="18"/>
      <c r="G88" s="117"/>
      <c r="H88" s="117"/>
      <c r="I88" s="117"/>
      <c r="J88" s="117"/>
      <c r="K88" s="117"/>
      <c r="L88" s="91"/>
      <c r="M88" s="91"/>
      <c r="N88" s="91"/>
      <c r="O88" s="91"/>
      <c r="P88" s="91"/>
      <c r="Q88" s="91"/>
    </row>
    <row r="89" spans="2:17" ht="29.25" customHeight="1">
      <c r="D89" s="5" t="str">
        <f>MAX($B$15:B89)&amp;"-"&amp;COUNTA($D$83:D88)+1</f>
        <v>6-2</v>
      </c>
      <c r="E89" s="218" t="s">
        <v>193</v>
      </c>
      <c r="F89" s="18"/>
      <c r="G89" s="117"/>
      <c r="H89" s="117"/>
      <c r="I89" s="117"/>
      <c r="J89" s="117"/>
      <c r="K89" s="117"/>
      <c r="L89" s="117"/>
      <c r="M89" s="117"/>
      <c r="N89" s="91"/>
      <c r="O89" s="91"/>
      <c r="P89" s="91"/>
      <c r="Q89" s="91"/>
    </row>
    <row r="90" spans="2:17" ht="29.25" customHeight="1">
      <c r="D90" s="5" t="str">
        <f>MAX($B$15:B90)&amp;"-"&amp;COUNTA($D$83:D89)+1</f>
        <v>6-3</v>
      </c>
      <c r="E90" s="218" t="s">
        <v>194</v>
      </c>
      <c r="F90" s="18"/>
      <c r="G90" s="117"/>
      <c r="H90" s="117"/>
      <c r="I90" s="117"/>
      <c r="J90" s="117"/>
      <c r="K90" s="117"/>
      <c r="L90" s="117"/>
      <c r="M90" s="117"/>
      <c r="N90" s="91"/>
      <c r="O90" s="91"/>
      <c r="P90" s="91"/>
      <c r="Q90" s="91"/>
    </row>
    <row r="91" spans="2:17" ht="29.25" customHeight="1">
      <c r="C91" s="9"/>
      <c r="D91" s="5" t="str">
        <f>MAX($B$15:B91)&amp;"-"&amp;COUNTA($D$83:D90)+1</f>
        <v>6-4</v>
      </c>
      <c r="E91" s="218" t="s">
        <v>195</v>
      </c>
      <c r="F91" s="18"/>
      <c r="G91" s="117"/>
      <c r="H91" s="117"/>
      <c r="I91" s="117"/>
      <c r="J91" s="117"/>
      <c r="K91" s="117"/>
      <c r="L91" s="117"/>
      <c r="M91" s="117"/>
      <c r="N91" s="117"/>
      <c r="O91" s="117"/>
      <c r="P91" s="117"/>
      <c r="Q91" s="117"/>
    </row>
    <row r="92" spans="2:17" ht="29.25" customHeight="1">
      <c r="C92" s="9"/>
      <c r="D92" s="5" t="str">
        <f>MAX($B$15:B92)&amp;"-"&amp;COUNTA($D$83:D91)+1</f>
        <v>6-5</v>
      </c>
      <c r="E92" s="218" t="s">
        <v>196</v>
      </c>
      <c r="F92" s="18"/>
      <c r="G92" s="117"/>
      <c r="H92" s="117"/>
      <c r="I92" s="117"/>
      <c r="J92" s="117"/>
      <c r="K92" s="117"/>
      <c r="L92" s="117"/>
      <c r="M92" s="117"/>
      <c r="N92" s="117"/>
      <c r="O92" s="117"/>
      <c r="P92" s="117"/>
      <c r="Q92" s="117"/>
    </row>
    <row r="93" spans="2:17" ht="29.25" customHeight="1">
      <c r="C93" s="9"/>
      <c r="D93" s="5" t="str">
        <f>MAX($B$15:B93)&amp;"-"&amp;COUNTA($D$83:D92)+1</f>
        <v>6-6</v>
      </c>
      <c r="E93" s="218" t="s">
        <v>197</v>
      </c>
      <c r="F93" s="18"/>
      <c r="G93" s="117"/>
      <c r="H93" s="117"/>
      <c r="I93" s="117"/>
      <c r="J93" s="117"/>
      <c r="K93" s="117"/>
      <c r="L93" s="117"/>
      <c r="M93" s="117"/>
      <c r="N93" s="117"/>
      <c r="O93" s="91"/>
      <c r="P93" s="91"/>
      <c r="Q93" s="91"/>
    </row>
    <row r="94" spans="2:17" ht="29.25" customHeight="1">
      <c r="C94" s="9"/>
      <c r="D94" s="7" t="str">
        <f>MAX($B$15:B94)&amp;"-"&amp;COUNTA($D$83:D93)+1</f>
        <v>6-7</v>
      </c>
      <c r="E94" s="219" t="s">
        <v>267</v>
      </c>
      <c r="F94" s="20"/>
      <c r="G94" s="62">
        <f>+G90+G91+G92+G93</f>
        <v>0</v>
      </c>
      <c r="H94" s="63">
        <f>+H90+H91+H92+H93</f>
        <v>0</v>
      </c>
      <c r="I94" s="64">
        <f>+I90+I91+I92+I93</f>
        <v>0</v>
      </c>
      <c r="J94" s="63">
        <f t="shared" ref="J94:P94" si="24">+J90+J91+J92+J93</f>
        <v>0</v>
      </c>
      <c r="K94" s="63">
        <f t="shared" si="24"/>
        <v>0</v>
      </c>
      <c r="L94" s="63">
        <f t="shared" si="24"/>
        <v>0</v>
      </c>
      <c r="M94" s="63">
        <f t="shared" si="24"/>
        <v>0</v>
      </c>
      <c r="N94" s="63">
        <f t="shared" si="24"/>
        <v>0</v>
      </c>
      <c r="O94" s="63">
        <f t="shared" si="24"/>
        <v>0</v>
      </c>
      <c r="P94" s="63">
        <f t="shared" si="24"/>
        <v>0</v>
      </c>
      <c r="Q94" s="63">
        <f>+Q90+Q91+Q92+Q93</f>
        <v>0</v>
      </c>
    </row>
    <row r="95" spans="2:17" ht="29.25" customHeight="1">
      <c r="C95" s="9"/>
      <c r="D95" s="5" t="str">
        <f>MAX($B$15:B95)&amp;"-"&amp;COUNTA($D$83:D94)+1</f>
        <v>6-8</v>
      </c>
      <c r="E95" s="220" t="s">
        <v>199</v>
      </c>
      <c r="F95" s="19" t="s">
        <v>200</v>
      </c>
      <c r="G95" s="207"/>
      <c r="H95" s="207"/>
      <c r="I95" s="207"/>
      <c r="J95" s="207"/>
      <c r="K95" s="207"/>
      <c r="L95" s="207"/>
      <c r="M95" s="207"/>
      <c r="N95" s="207"/>
      <c r="O95" s="207"/>
      <c r="P95" s="268"/>
      <c r="Q95" s="268"/>
    </row>
    <row r="96" spans="2:17" ht="29.25" customHeight="1">
      <c r="C96" s="9"/>
      <c r="D96" s="5" t="str">
        <f>MAX($B$15:B96)&amp;"-"&amp;COUNTA($D$83:D95)+1</f>
        <v>6-9</v>
      </c>
      <c r="E96" s="220" t="s">
        <v>201</v>
      </c>
      <c r="F96" s="19" t="s">
        <v>200</v>
      </c>
      <c r="G96" s="207"/>
      <c r="H96" s="207"/>
      <c r="I96" s="207"/>
      <c r="J96" s="207"/>
      <c r="K96" s="207"/>
      <c r="L96" s="207"/>
      <c r="M96" s="207"/>
      <c r="N96" s="207"/>
      <c r="O96" s="207"/>
      <c r="P96" s="268"/>
      <c r="Q96" s="268"/>
    </row>
    <row r="97" spans="2:17" ht="29.25" customHeight="1">
      <c r="C97" s="9"/>
      <c r="D97" s="7" t="str">
        <f>MAX($B$15:B97)&amp;"-"&amp;COUNTA($D$83:D96)+1</f>
        <v>6-10</v>
      </c>
      <c r="E97" s="219" t="s">
        <v>202</v>
      </c>
      <c r="F97" s="21"/>
      <c r="G97" s="12">
        <f>IFERROR(IF(G95=0,0,+G91/G95),"")</f>
        <v>0</v>
      </c>
      <c r="H97" s="63">
        <f t="shared" ref="H97:Q97" si="25">IFERROR(IF(H95=0,0,+H91/H95),"")</f>
        <v>0</v>
      </c>
      <c r="I97" s="64">
        <f t="shared" si="25"/>
        <v>0</v>
      </c>
      <c r="J97" s="63">
        <f t="shared" si="25"/>
        <v>0</v>
      </c>
      <c r="K97" s="63">
        <f t="shared" si="25"/>
        <v>0</v>
      </c>
      <c r="L97" s="63">
        <f t="shared" si="25"/>
        <v>0</v>
      </c>
      <c r="M97" s="63">
        <f t="shared" si="25"/>
        <v>0</v>
      </c>
      <c r="N97" s="63">
        <f t="shared" si="25"/>
        <v>0</v>
      </c>
      <c r="O97" s="63">
        <f t="shared" si="25"/>
        <v>0</v>
      </c>
      <c r="P97" s="63">
        <f t="shared" si="25"/>
        <v>0</v>
      </c>
      <c r="Q97" s="63">
        <f t="shared" si="25"/>
        <v>0</v>
      </c>
    </row>
    <row r="98" spans="2:17" ht="29.25" customHeight="1">
      <c r="C98" s="9"/>
      <c r="D98" s="7" t="str">
        <f>MAX($B$15:B98)&amp;"-"&amp;COUNTA($D$83:D97)+1</f>
        <v>6-11</v>
      </c>
      <c r="E98" s="219" t="s">
        <v>203</v>
      </c>
      <c r="F98" s="21" t="s">
        <v>204</v>
      </c>
      <c r="G98" s="235"/>
      <c r="H98" s="45" t="str">
        <f>IFERROR((H97-G97)/G97,"")</f>
        <v/>
      </c>
      <c r="I98" s="46" t="str">
        <f>IFERROR((I97-H97)/H97,"")</f>
        <v/>
      </c>
      <c r="J98" s="45" t="str">
        <f>IFERROR((J97-I97)/I97,"")</f>
        <v/>
      </c>
      <c r="K98" s="45" t="str">
        <f>IFERROR((K97-J97)/J97,"")</f>
        <v/>
      </c>
      <c r="L98" s="45" t="str">
        <f>IFERROR((L97-K97)/K97,"")</f>
        <v/>
      </c>
      <c r="M98" s="45" t="str">
        <f t="shared" ref="M98:Q98" si="26">IFERROR((M97-L97)/L97,"")</f>
        <v/>
      </c>
      <c r="N98" s="45" t="str">
        <f t="shared" si="26"/>
        <v/>
      </c>
      <c r="O98" s="45" t="str">
        <f t="shared" si="26"/>
        <v/>
      </c>
      <c r="P98" s="45" t="str">
        <f t="shared" si="26"/>
        <v/>
      </c>
      <c r="Q98" s="45" t="str">
        <f t="shared" si="26"/>
        <v/>
      </c>
    </row>
    <row r="99" spans="2:17" ht="29.25" customHeight="1">
      <c r="C99" s="9"/>
      <c r="D99" s="7" t="str">
        <f>MAX($B$15:B99)&amp;"-"&amp;COUNTA($D$83:D98)+1</f>
        <v>6-12</v>
      </c>
      <c r="E99" s="219" t="s">
        <v>205</v>
      </c>
      <c r="F99" s="20"/>
      <c r="G99" s="62">
        <f>IFERROR(IF(G96=0,0,+G92/G96),"")</f>
        <v>0</v>
      </c>
      <c r="H99" s="63">
        <f t="shared" ref="H99:Q99" si="27">IFERROR(IF(H96=0,0,+H92/H96),"")</f>
        <v>0</v>
      </c>
      <c r="I99" s="63">
        <f t="shared" si="27"/>
        <v>0</v>
      </c>
      <c r="J99" s="63">
        <f t="shared" si="27"/>
        <v>0</v>
      </c>
      <c r="K99" s="63">
        <f t="shared" si="27"/>
        <v>0</v>
      </c>
      <c r="L99" s="63">
        <f t="shared" si="27"/>
        <v>0</v>
      </c>
      <c r="M99" s="63">
        <f t="shared" si="27"/>
        <v>0</v>
      </c>
      <c r="N99" s="63">
        <f t="shared" si="27"/>
        <v>0</v>
      </c>
      <c r="O99" s="63">
        <f t="shared" si="27"/>
        <v>0</v>
      </c>
      <c r="P99" s="63">
        <f t="shared" si="27"/>
        <v>0</v>
      </c>
      <c r="Q99" s="63">
        <f t="shared" si="27"/>
        <v>0</v>
      </c>
    </row>
    <row r="100" spans="2:17" ht="29.25" customHeight="1">
      <c r="C100" s="9"/>
      <c r="D100" s="7" t="str">
        <f>MAX($B$15:B100)&amp;"-"&amp;COUNTA($D$83:D99)+1</f>
        <v>6-13</v>
      </c>
      <c r="E100" s="219" t="s">
        <v>206</v>
      </c>
      <c r="F100" s="20" t="s">
        <v>207</v>
      </c>
      <c r="G100" s="235"/>
      <c r="H100" s="45" t="str">
        <f>IFERROR((H99-G99)/G99,"")</f>
        <v/>
      </c>
      <c r="I100" s="46" t="str">
        <f>IFERROR((I99-H99)/H99,"")</f>
        <v/>
      </c>
      <c r="J100" s="45" t="str">
        <f t="shared" ref="J100:Q100" si="28">IFERROR((J99-I99)/I99,"")</f>
        <v/>
      </c>
      <c r="K100" s="45" t="str">
        <f t="shared" si="28"/>
        <v/>
      </c>
      <c r="L100" s="45" t="str">
        <f t="shared" si="28"/>
        <v/>
      </c>
      <c r="M100" s="45" t="str">
        <f t="shared" si="28"/>
        <v/>
      </c>
      <c r="N100" s="45" t="str">
        <f t="shared" si="28"/>
        <v/>
      </c>
      <c r="O100" s="45" t="str">
        <f t="shared" si="28"/>
        <v/>
      </c>
      <c r="P100" s="45" t="str">
        <f t="shared" si="28"/>
        <v/>
      </c>
      <c r="Q100" s="45" t="str">
        <f t="shared" si="28"/>
        <v/>
      </c>
    </row>
    <row r="101" spans="2:17" ht="29.25" customHeight="1">
      <c r="C101" s="9"/>
      <c r="D101" s="7" t="str">
        <f>MAX($B$15:B101)&amp;"-"&amp;COUNTA($D$83:D100)+1</f>
        <v>6-14</v>
      </c>
      <c r="E101" s="219" t="s">
        <v>208</v>
      </c>
      <c r="F101" s="21"/>
      <c r="G101" s="12" t="str">
        <f>IFERROR(+G94/(G95+G96),"")</f>
        <v/>
      </c>
      <c r="H101" s="13" t="str">
        <f t="shared" ref="H101:Q101" si="29">IFERROR(+H94/(H95+H96),"")</f>
        <v/>
      </c>
      <c r="I101" s="15" t="str">
        <f t="shared" si="29"/>
        <v/>
      </c>
      <c r="J101" s="13" t="str">
        <f t="shared" si="29"/>
        <v/>
      </c>
      <c r="K101" s="13" t="str">
        <f>IFERROR(+K94/(K95+K96),"")</f>
        <v/>
      </c>
      <c r="L101" s="13" t="str">
        <f t="shared" si="29"/>
        <v/>
      </c>
      <c r="M101" s="13" t="str">
        <f t="shared" si="29"/>
        <v/>
      </c>
      <c r="N101" s="13" t="str">
        <f t="shared" si="29"/>
        <v/>
      </c>
      <c r="O101" s="13" t="str">
        <f t="shared" si="29"/>
        <v/>
      </c>
      <c r="P101" s="13" t="str">
        <f t="shared" si="29"/>
        <v/>
      </c>
      <c r="Q101" s="13" t="str">
        <f t="shared" si="29"/>
        <v/>
      </c>
    </row>
    <row r="102" spans="2:17" ht="29.25" customHeight="1">
      <c r="D102" s="5" t="str">
        <f>MAX($B$15:B102)&amp;"-"&amp;COUNTA($D$83:D101)+1</f>
        <v>6-15</v>
      </c>
      <c r="E102" s="218" t="s">
        <v>268</v>
      </c>
      <c r="F102" s="18" t="s">
        <v>207</v>
      </c>
      <c r="G102" s="119"/>
      <c r="H102" s="60" t="s">
        <v>269</v>
      </c>
    </row>
    <row r="103" spans="2:17">
      <c r="E103" s="221"/>
      <c r="F103" s="6"/>
    </row>
    <row r="104" spans="2:17">
      <c r="B104" s="49">
        <f>MAX($B$14:B103)+1</f>
        <v>7</v>
      </c>
      <c r="C104" s="42" t="s">
        <v>227</v>
      </c>
      <c r="D104" s="48"/>
      <c r="E104" s="178"/>
      <c r="F104" s="11"/>
    </row>
    <row r="105" spans="2:17" ht="29.25" customHeight="1">
      <c r="D105" s="5" t="str">
        <f>MAX($B$15:B105)&amp;"-"&amp;COUNTA($D$104:D104)+1</f>
        <v>7-1</v>
      </c>
      <c r="E105" s="236" t="s">
        <v>270</v>
      </c>
      <c r="F105" s="18" t="s">
        <v>231</v>
      </c>
      <c r="G105" s="90"/>
    </row>
    <row r="106" spans="2:17" ht="29.25" customHeight="1">
      <c r="D106" s="5" t="str">
        <f>MAX($B$15:B106)&amp;"-"&amp;COUNTA($D$104:D105)+1</f>
        <v>7-2</v>
      </c>
      <c r="E106" s="236" t="s">
        <v>271</v>
      </c>
      <c r="F106" s="18" t="s">
        <v>231</v>
      </c>
      <c r="G106" s="247"/>
    </row>
    <row r="107" spans="2:17" ht="29.25" customHeight="1">
      <c r="D107" s="5" t="str">
        <f>MAX($B$15:B107)&amp;"-"&amp;COUNTA($D$104:D106)+1</f>
        <v>7-3</v>
      </c>
      <c r="E107" s="237" t="s">
        <v>272</v>
      </c>
      <c r="F107" s="51" t="s">
        <v>231</v>
      </c>
      <c r="G107" s="248"/>
    </row>
    <row r="108" spans="2:17" ht="36" customHeight="1">
      <c r="D108" s="5" t="str">
        <f>MAX($B$15:B108)&amp;"-"&amp;COUNTA($D$104:D107)+1</f>
        <v>7-4</v>
      </c>
      <c r="E108" s="206" t="s">
        <v>273</v>
      </c>
      <c r="F108" s="18" t="s">
        <v>258</v>
      </c>
      <c r="G108" s="233"/>
    </row>
    <row r="109" spans="2:17" ht="29.25" customHeight="1">
      <c r="D109" s="5" t="str">
        <f>MAX($B$15:B109)&amp;"-"&amp;COUNTA($D$104:D108)+1</f>
        <v>7-5</v>
      </c>
      <c r="E109" s="206" t="s">
        <v>274</v>
      </c>
      <c r="F109" s="51" t="s">
        <v>231</v>
      </c>
      <c r="G109" s="136"/>
    </row>
    <row r="110" spans="2:17" ht="29.25" customHeight="1">
      <c r="D110" s="5" t="str">
        <f>MAX($B$15:B110)&amp;"-"&amp;COUNTA($D$104:D109)+1</f>
        <v>7-6</v>
      </c>
      <c r="E110" s="206" t="s">
        <v>275</v>
      </c>
      <c r="F110" s="51" t="s">
        <v>231</v>
      </c>
      <c r="G110" s="136"/>
      <c r="H110" s="136"/>
      <c r="I110" s="136"/>
      <c r="J110" s="136"/>
      <c r="K110" s="136"/>
    </row>
    <row r="111" spans="2:17">
      <c r="E111" s="221"/>
      <c r="F111" s="6"/>
    </row>
    <row r="112" spans="2:17" ht="20.100000000000001">
      <c r="B112" s="17" t="s">
        <v>276</v>
      </c>
      <c r="C112" s="59"/>
      <c r="G112" s="11"/>
      <c r="H112" s="11"/>
    </row>
    <row r="113" spans="2:16">
      <c r="C113" s="65"/>
      <c r="D113" s="65" t="s">
        <v>277</v>
      </c>
      <c r="E113" s="223"/>
      <c r="F113" s="38"/>
      <c r="P113" s="205"/>
    </row>
    <row r="114" spans="2:16">
      <c r="C114" s="9"/>
      <c r="D114" s="60" t="s">
        <v>278</v>
      </c>
      <c r="E114" s="224"/>
      <c r="F114" s="6"/>
    </row>
    <row r="115" spans="2:16">
      <c r="C115" s="9"/>
      <c r="D115" s="60" t="s">
        <v>279</v>
      </c>
      <c r="E115" s="224"/>
      <c r="F115" s="6"/>
    </row>
    <row r="116" spans="2:16">
      <c r="D116" s="61" t="s">
        <v>280</v>
      </c>
      <c r="F116" s="10"/>
    </row>
    <row r="117" spans="2:16">
      <c r="D117" s="103" t="s">
        <v>281</v>
      </c>
      <c r="F117" s="10"/>
    </row>
    <row r="118" spans="2:16">
      <c r="D118" s="103" t="s">
        <v>282</v>
      </c>
      <c r="F118" s="10"/>
    </row>
    <row r="119" spans="2:16">
      <c r="D119" s="103" t="s">
        <v>283</v>
      </c>
      <c r="F119" s="10"/>
    </row>
    <row r="120" spans="2:16">
      <c r="D120" s="103" t="s">
        <v>284</v>
      </c>
      <c r="F120" s="10"/>
    </row>
    <row r="121" spans="2:16">
      <c r="D121" s="103" t="s">
        <v>285</v>
      </c>
      <c r="F121" s="10"/>
    </row>
    <row r="122" spans="2:16">
      <c r="D122" s="103" t="s">
        <v>286</v>
      </c>
      <c r="F122" s="10"/>
    </row>
    <row r="123" spans="2:16">
      <c r="E123" s="221"/>
      <c r="F123" s="6"/>
    </row>
    <row r="124" spans="2:16" ht="20.100000000000001">
      <c r="B124" s="17" t="s">
        <v>287</v>
      </c>
      <c r="E124" s="221"/>
      <c r="F124" s="6"/>
    </row>
    <row r="125" spans="2:16">
      <c r="B125" s="8"/>
      <c r="C125" s="60" t="s">
        <v>288</v>
      </c>
    </row>
    <row r="126" spans="2:16" ht="36">
      <c r="C126" s="32"/>
      <c r="D126" s="7">
        <v>1</v>
      </c>
      <c r="E126" s="161" t="s">
        <v>289</v>
      </c>
      <c r="F126" s="31" t="s">
        <v>290</v>
      </c>
      <c r="G126" s="40" t="str">
        <f>IF(AND(③経費明細書!$H$67&lt;=(③経費明細書!G67/3),③経費明細書!$H$67&lt;=5000000000,③経費明細書!$H$67&gt;0),"該当","非該当")</f>
        <v>非該当</v>
      </c>
    </row>
    <row r="127" spans="2:16" ht="36" customHeight="1">
      <c r="D127" s="7">
        <v>2</v>
      </c>
      <c r="E127" s="161" t="s">
        <v>291</v>
      </c>
      <c r="F127" s="31" t="s">
        <v>290</v>
      </c>
      <c r="G127" s="40" t="str">
        <f>IF(①申請者情報!E10="1/4補助率を許容する",IF(AND(③経費明細書!$I$67&lt;=(③経費明細書!G67/4),③経費明細書!$I$67&lt;=5000000000,③経費明細書!$I$67&gt;0),"該当","非該当"),IF(①申請者情報!E10="1/4補助率を許容しない","－","非該当"))</f>
        <v>非該当</v>
      </c>
    </row>
    <row r="128" spans="2:16">
      <c r="D128" s="35">
        <v>3</v>
      </c>
      <c r="E128" s="161" t="s">
        <v>292</v>
      </c>
      <c r="F128" s="31" t="s">
        <v>293</v>
      </c>
      <c r="G128" s="40" t="str">
        <f>IF(OR($E$9="",$E$10="",$E$9&gt;$E$10,$E$10&gt;DATEVALUE("2027/12/31")),"非該当","該当")</f>
        <v>非該当</v>
      </c>
    </row>
    <row r="129" spans="1:17" ht="36">
      <c r="D129" s="7">
        <v>4</v>
      </c>
      <c r="E129" s="161" t="s">
        <v>294</v>
      </c>
      <c r="F129" s="31" t="s">
        <v>295</v>
      </c>
      <c r="G129" s="40" t="str">
        <f>IF(OR(AND($I$40&gt;=1,$I$40&lt;=2000),AND($I$40=0,$I$41&gt;=1,$I$41&lt;=2000)),"該当","非該当")</f>
        <v>非該当</v>
      </c>
      <c r="N129" s="6"/>
    </row>
    <row r="130" spans="1:17" ht="36">
      <c r="D130" s="7">
        <v>5</v>
      </c>
      <c r="E130" s="161" t="s">
        <v>296</v>
      </c>
      <c r="F130" s="31" t="s">
        <v>297</v>
      </c>
      <c r="G130" s="40" t="str">
        <f>IF(③経費明細書!$G$68&gt;=1000000000,"該当","非該当")</f>
        <v>非該当</v>
      </c>
      <c r="N130" s="6"/>
    </row>
    <row r="131" spans="1:17" ht="36">
      <c r="D131" s="7">
        <v>6</v>
      </c>
      <c r="E131" s="161" t="s">
        <v>298</v>
      </c>
      <c r="F131" s="31" t="s">
        <v>297</v>
      </c>
      <c r="G131" s="40" t="str">
        <f>IF(③経費明細書!$D$83&gt;0,"該当","非該当")</f>
        <v>非該当</v>
      </c>
    </row>
    <row r="132" spans="1:17">
      <c r="D132" s="35">
        <v>7</v>
      </c>
      <c r="E132" s="36" t="s">
        <v>299</v>
      </c>
      <c r="F132" s="37" t="s">
        <v>295</v>
      </c>
      <c r="G132" s="120" t="str">
        <f>IF(OR(G105="",G105=【参考】業種!$F$2,G105=【参考】業種!$G$2),"非該当","該当")</f>
        <v>非該当</v>
      </c>
    </row>
    <row r="133" spans="1:17" ht="36" customHeight="1">
      <c r="D133" s="35">
        <v>8</v>
      </c>
      <c r="E133" s="121" t="s">
        <v>300</v>
      </c>
      <c r="F133" s="37" t="s">
        <v>297</v>
      </c>
      <c r="G133" s="41" t="str">
        <f>IF(P83="－","－",IF(OR(P83="",P83&lt;$Q$83),"非該当","該当"))</f>
        <v>非該当</v>
      </c>
    </row>
    <row r="134" spans="1:17" ht="36" customHeight="1">
      <c r="D134" s="35">
        <v>9</v>
      </c>
      <c r="E134" s="121" t="s">
        <v>301</v>
      </c>
      <c r="F134" s="37" t="s">
        <v>297</v>
      </c>
      <c r="G134" s="41" t="str">
        <f>IF(P84="－","－",IF(OR(P84="",P84&lt;$Q$83),"非該当","該当"))</f>
        <v>非該当</v>
      </c>
    </row>
    <row r="135" spans="1:17" ht="36">
      <c r="D135" s="7">
        <v>10</v>
      </c>
      <c r="E135" s="34" t="s">
        <v>302</v>
      </c>
      <c r="F135" s="31" t="s">
        <v>297</v>
      </c>
      <c r="G135" s="40" t="str">
        <f>IF(AND(G133="該当",G134="該当"),"該当",IF(AND(OR(G133="－",G134="－"),OR(G133="該当",G134="該当")),"該当","非該当"))</f>
        <v>非該当</v>
      </c>
    </row>
    <row r="136" spans="1:17" ht="36">
      <c r="D136" s="7">
        <v>11</v>
      </c>
      <c r="E136" s="161" t="s">
        <v>303</v>
      </c>
      <c r="F136" s="31" t="s">
        <v>304</v>
      </c>
      <c r="G136" s="40" t="str">
        <f>IF(SUM(③経費明細書!$G$47,③経費明細書!$G$51,③経費明細書!$G$55)&lt;=SUM(③経費明細書!$G$59,③経費明細書!$G$63),"非該当","該当")</f>
        <v>非該当</v>
      </c>
    </row>
    <row r="137" spans="1:17">
      <c r="D137" s="35">
        <v>12</v>
      </c>
      <c r="E137" s="121" t="s">
        <v>305</v>
      </c>
      <c r="F137" s="37" t="s">
        <v>297</v>
      </c>
      <c r="G137" s="197" t="str">
        <f>IFERROR(IF(OR(HLOOKUP(EDATE($F$13,0),$G$32:$Q$46,11,FALSE)&lt;HLOOKUP($I$12,$G$32:$Q$46,11,FALSE),HLOOKUP(EDATE($F$13,0),$G$32:$Q$46,11,FALSE)="",HLOOKUP($I$12,$G$32:$Q$46,11,FALSE)=""),"非該当","該当"),"非該当")</f>
        <v>非該当</v>
      </c>
    </row>
    <row r="138" spans="1:17" ht="17.100000000000001" customHeight="1">
      <c r="D138" s="196">
        <v>13</v>
      </c>
      <c r="E138" s="225" t="s">
        <v>306</v>
      </c>
      <c r="F138" s="195" t="s">
        <v>307</v>
      </c>
      <c r="G138" s="197" t="str">
        <f>IFERROR(IF(OR(HLOOKUP(EDATE($F$13,0),$G$32:$Q$46,13,FALSE)&lt;HLOOKUP($I$12,$G$32:$Q$46,13,FALSE),HLOOKUP(EDATE($F$13,0),$G$32:$Q$46,13,FALSE)="",HLOOKUP($I$12,$G$32:$Q$46,13,FALSE)=""),"非該当","該当"),"非該当")</f>
        <v>非該当</v>
      </c>
    </row>
    <row r="140" spans="1:17" ht="20.100000000000001">
      <c r="B140" s="17" t="s">
        <v>113</v>
      </c>
    </row>
    <row r="141" spans="1:17">
      <c r="B141" s="8"/>
      <c r="C141" s="162" t="s">
        <v>114</v>
      </c>
    </row>
    <row r="142" spans="1:17">
      <c r="B142" s="8"/>
      <c r="C142" s="60"/>
      <c r="D142" s="163" t="s">
        <v>308</v>
      </c>
      <c r="E142" s="226" t="s">
        <v>116</v>
      </c>
      <c r="F142" s="164" t="s">
        <v>117</v>
      </c>
      <c r="G142" s="165" t="s">
        <v>118</v>
      </c>
      <c r="H142" s="166"/>
      <c r="I142" s="166"/>
      <c r="J142" s="166"/>
      <c r="K142" s="166"/>
      <c r="L142" s="166"/>
      <c r="M142" s="166"/>
      <c r="N142" s="166"/>
      <c r="O142" s="166"/>
      <c r="P142" s="166"/>
      <c r="Q142" s="188"/>
    </row>
    <row r="143" spans="1:17">
      <c r="A143" s="246"/>
      <c r="D143" s="161">
        <v>1</v>
      </c>
      <c r="E143" s="34" t="s">
        <v>309</v>
      </c>
      <c r="F143" s="167" t="str">
        <f>IFERROR(IF($E$10="","(4)補助事業完了日：入力してください",IF(OR(ISERROR(VALUE($E$10)),$E$10&gt;DATEVALUE("2027/12/31"),$E$10&lt;DATEVALUE("2025/7/7")),"(4)補助事業完了日：2027年12月末までの未来日付を入力してください",IF($E$9&gt;$E$10,"(4)補助事業完了日：最新決算期末日より未来の日付を入力してください"," "))),$G$142)</f>
        <v>(4)補助事業完了日：入力してください</v>
      </c>
      <c r="G143" s="168"/>
      <c r="H143" s="168"/>
      <c r="I143" s="168"/>
      <c r="J143" s="168"/>
      <c r="K143" s="168"/>
      <c r="L143" s="168"/>
      <c r="M143" s="168"/>
      <c r="N143" s="168"/>
      <c r="O143" s="168"/>
      <c r="P143" s="168"/>
      <c r="Q143" s="187"/>
    </row>
    <row r="144" spans="1:17" ht="54">
      <c r="A144" s="246"/>
      <c r="D144" s="161">
        <v>2</v>
      </c>
      <c r="E144" s="171" t="s">
        <v>310</v>
      </c>
      <c r="F144" s="167" t="str">
        <f>IFERROR(IF($E$12="","(5)補助事業完了日を含む事業年度：入力してください",IF(COUNTIF($G$12:$Q$12,$E$12)=0,"(5)補助事業完了日を含む事業年度：正しい年度を選択してください",IF(YEAR($E$10)*12+MONTH($E$10)&gt;YEAR($E$12)*12+MONTH($E$12),"(5)補助事業完了日を含む事業年度：(4)補助事業完了日より過去日が選択されています",IF($E$12-$E$10&gt;366,"(5)補助事業完了日を含む事業年度：(4)補助事業完了日より1年以上先の年度日付が選択されています"," ")))),$G$142)</f>
        <v>(5)補助事業完了日を含む事業年度：入力してください</v>
      </c>
      <c r="G144" s="168"/>
      <c r="H144" s="168"/>
      <c r="I144" s="168"/>
      <c r="J144" s="168"/>
      <c r="K144" s="168"/>
      <c r="L144" s="168"/>
      <c r="M144" s="168"/>
      <c r="N144" s="168"/>
      <c r="O144" s="168"/>
      <c r="P144" s="168"/>
      <c r="Q144" s="187"/>
    </row>
    <row r="145" spans="1:17" ht="36">
      <c r="A145" s="246"/>
      <c r="D145" s="161">
        <v>3</v>
      </c>
      <c r="E145" s="34" t="s">
        <v>311</v>
      </c>
      <c r="F145" s="167" t="str">
        <f ca="1">IFERROR(IF($F$13&lt;&gt;"",IF(COUNTBLANK($G40:INDIRECT("R40C" &amp; (6+MATCH(EDATE($F$13,36),$G$12:$Q$12,0)), FALSE))&gt;0,"2-8_常時使用する従業員数（就業時間換算）：事業化報告3年目まで「入力項目」欄を全て入力してください（情報がない場合は0を入力してください）",IF(COUNT($G40:INDIRECT("R40C" &amp; (MATCH(EDATE($F$13,36),$G$12:$Q$12,0)+6), FALSE))&lt;&gt;COUNTA($G40:INDIRECT("R40C" &amp; (MATCH(EDATE($F$13,36),$G$12:$Q$12,0)+6), FALSE)),"2-8_常時使用する従業員数（就業時間換算）：半角数字で入力してください"," "))," "),$G$142)</f>
        <v xml:space="preserve"> </v>
      </c>
      <c r="G145" s="168"/>
      <c r="H145" s="168"/>
      <c r="I145" s="168"/>
      <c r="J145" s="168"/>
      <c r="K145" s="168"/>
      <c r="L145" s="168"/>
      <c r="M145" s="168"/>
      <c r="N145" s="168"/>
      <c r="O145" s="168"/>
      <c r="P145" s="168"/>
      <c r="Q145" s="187"/>
    </row>
    <row r="146" spans="1:17" ht="36">
      <c r="A146" s="246"/>
      <c r="D146" s="161">
        <v>4</v>
      </c>
      <c r="E146" s="34" t="s">
        <v>312</v>
      </c>
      <c r="F146" s="167" t="str">
        <f ca="1">IFERROR(IF($F$13&lt;&gt;"",IF(COUNTBLANK($G41:INDIRECT("R41C" &amp; (6+MATCH(EDATE($F$13,36),$G$12:$Q$12,0)), FALSE))&gt;0,"2-9_役員数：事業化報告3年目まで「入力項目」欄を全て入力してください（情報がない場合は0を入力してください）",IF(COUNT($G41:INDIRECT("R41C" &amp; (MATCH(EDATE($F$13,36),$G$12:$Q$12,0)+6), FALSE))&lt;&gt;COUNTA($G41:INDIRECT("R41C" &amp; (MATCH(EDATE($F$13,36),$G$12:$Q$12,0)+6), FALSE)),"2-9_役員数：半角数字で入力してください"," "))," "),$G$142)</f>
        <v xml:space="preserve"> </v>
      </c>
      <c r="G146" s="168"/>
      <c r="H146" s="168"/>
      <c r="I146" s="168"/>
      <c r="J146" s="168"/>
      <c r="K146" s="168"/>
      <c r="L146" s="168"/>
      <c r="M146" s="168"/>
      <c r="N146" s="168"/>
      <c r="O146" s="168"/>
      <c r="P146" s="168"/>
      <c r="Q146" s="187"/>
    </row>
    <row r="147" spans="1:17">
      <c r="D147" s="161">
        <v>5</v>
      </c>
      <c r="E147" s="161" t="s">
        <v>313</v>
      </c>
      <c r="F147" s="167" t="str">
        <f>IFERROR(IF(③経費明細書!D87&gt;0,"③経費明細書シート &gt;「（A）事業に要する経費 ≧ （B）補助対象経費 ≧ （C）補助金交付申請額」となるように入力してください"," "),$G$142)</f>
        <v xml:space="preserve"> </v>
      </c>
      <c r="G147" s="168"/>
      <c r="H147" s="168"/>
      <c r="I147" s="168"/>
      <c r="J147" s="168"/>
      <c r="K147" s="168"/>
      <c r="L147" s="168"/>
      <c r="M147" s="168"/>
      <c r="N147" s="168"/>
      <c r="O147" s="168"/>
      <c r="P147" s="168"/>
      <c r="Q147" s="187"/>
    </row>
    <row r="148" spans="1:17">
      <c r="D148" s="1"/>
    </row>
    <row r="149" spans="1:17">
      <c r="D149" s="1"/>
    </row>
    <row r="151" spans="1:17">
      <c r="C151" s="11" t="s">
        <v>314</v>
      </c>
      <c r="D151" s="11"/>
    </row>
    <row r="152" spans="1:17">
      <c r="D152" s="2"/>
      <c r="E152" s="177" t="s">
        <v>315</v>
      </c>
      <c r="F152" s="182" t="str">
        <f>IFERROR(IF(COUNTIF($G$153:$Q$153,"エラー"),"「2-4_給与支給総額（常時使用する従業員）≧6-4_給与支給総額（常時使用する従業員）」となるように入力してください"," "),$G$142)</f>
        <v xml:space="preserve"> </v>
      </c>
      <c r="G152" s="32"/>
      <c r="H152" s="168"/>
      <c r="I152" s="168"/>
      <c r="J152" s="168"/>
      <c r="K152" s="168"/>
      <c r="L152" s="168"/>
      <c r="M152" s="168"/>
      <c r="N152" s="168"/>
      <c r="O152" s="168"/>
      <c r="P152" s="168"/>
      <c r="Q152" s="187"/>
    </row>
    <row r="153" spans="1:17">
      <c r="D153" s="178"/>
      <c r="E153" s="179"/>
      <c r="F153" s="172" t="s">
        <v>139</v>
      </c>
      <c r="G153" s="169" t="str">
        <f t="shared" ref="G153:Q153" si="30">IFERROR(IF(VALUE(G$36)&gt;=VALUE(G$91),"","エラー"),"エラー")</f>
        <v/>
      </c>
      <c r="H153" s="169" t="str">
        <f t="shared" si="30"/>
        <v/>
      </c>
      <c r="I153" s="169" t="str">
        <f t="shared" si="30"/>
        <v/>
      </c>
      <c r="J153" s="169" t="str">
        <f t="shared" si="30"/>
        <v/>
      </c>
      <c r="K153" s="169" t="str">
        <f t="shared" si="30"/>
        <v/>
      </c>
      <c r="L153" s="169" t="str">
        <f t="shared" si="30"/>
        <v/>
      </c>
      <c r="M153" s="169" t="str">
        <f t="shared" si="30"/>
        <v/>
      </c>
      <c r="N153" s="169" t="str">
        <f t="shared" si="30"/>
        <v/>
      </c>
      <c r="O153" s="169" t="str">
        <f t="shared" si="30"/>
        <v/>
      </c>
      <c r="P153" s="169" t="str">
        <f t="shared" si="30"/>
        <v/>
      </c>
      <c r="Q153" s="169" t="str">
        <f t="shared" si="30"/>
        <v/>
      </c>
    </row>
    <row r="154" spans="1:17">
      <c r="D154" s="180"/>
      <c r="E154" s="227" t="s">
        <v>316</v>
      </c>
      <c r="F154" s="182" t="str">
        <f>IFERROR(IF(COUNTIF($G$155:$Q$155,"エラー"),"「2-8_常時使用する従業員数（就業時間換算）≧6-8_常時使用する従業員数（就業時間換算）」となるように入力してください"," "),$G$142)</f>
        <v xml:space="preserve"> </v>
      </c>
      <c r="G154" s="32"/>
      <c r="H154" s="168"/>
      <c r="I154" s="168"/>
      <c r="J154" s="168"/>
      <c r="K154" s="168"/>
      <c r="L154" s="168"/>
      <c r="M154" s="168"/>
      <c r="N154" s="168"/>
      <c r="O154" s="168"/>
      <c r="P154" s="168"/>
      <c r="Q154" s="187"/>
    </row>
    <row r="155" spans="1:17">
      <c r="D155" s="178"/>
      <c r="E155" s="179"/>
      <c r="F155" s="172" t="s">
        <v>139</v>
      </c>
      <c r="G155" s="169" t="str">
        <f t="shared" ref="G155:Q155" si="31">IFERROR(IF(VALUE(G$40)&gt;=VALUE(G$95),"","エラー"),"エラー")</f>
        <v/>
      </c>
      <c r="H155" s="169" t="str">
        <f t="shared" si="31"/>
        <v/>
      </c>
      <c r="I155" s="169" t="str">
        <f t="shared" si="31"/>
        <v/>
      </c>
      <c r="J155" s="169" t="str">
        <f t="shared" si="31"/>
        <v/>
      </c>
      <c r="K155" s="169" t="str">
        <f t="shared" si="31"/>
        <v/>
      </c>
      <c r="L155" s="169" t="str">
        <f t="shared" si="31"/>
        <v/>
      </c>
      <c r="M155" s="169" t="str">
        <f t="shared" si="31"/>
        <v/>
      </c>
      <c r="N155" s="169" t="str">
        <f t="shared" si="31"/>
        <v/>
      </c>
      <c r="O155" s="169" t="str">
        <f t="shared" si="31"/>
        <v/>
      </c>
      <c r="P155" s="169" t="str">
        <f t="shared" si="31"/>
        <v/>
      </c>
      <c r="Q155" s="169" t="str">
        <f t="shared" si="31"/>
        <v/>
      </c>
    </row>
    <row r="156" spans="1:17">
      <c r="D156" s="181"/>
      <c r="E156" s="177" t="s">
        <v>317</v>
      </c>
      <c r="F156" s="182" t="str">
        <f>IFERROR(IF(COUNTIF($G$157:$Q$157,"エラー"),"「2-5_給与支給総額（役員）≧6-5_給与支給総額（役員）」となるように入力してください"," "),$G$142)</f>
        <v xml:space="preserve"> </v>
      </c>
      <c r="G156" s="32"/>
      <c r="H156" s="168"/>
      <c r="I156" s="168"/>
      <c r="J156" s="168"/>
      <c r="K156" s="168"/>
      <c r="L156" s="168"/>
      <c r="M156" s="168"/>
      <c r="N156" s="168"/>
      <c r="O156" s="168"/>
      <c r="P156" s="168"/>
      <c r="Q156" s="187"/>
    </row>
    <row r="157" spans="1:17">
      <c r="D157" s="178"/>
      <c r="E157" s="179"/>
      <c r="F157" s="172" t="s">
        <v>139</v>
      </c>
      <c r="G157" s="169" t="str">
        <f t="shared" ref="G157:Q157" si="32">IFERROR(IF(VALUE(G$37)&gt;=VALUE(G$92),"","エラー"),"エラー")</f>
        <v/>
      </c>
      <c r="H157" s="169" t="str">
        <f t="shared" si="32"/>
        <v/>
      </c>
      <c r="I157" s="169" t="str">
        <f t="shared" si="32"/>
        <v/>
      </c>
      <c r="J157" s="169" t="str">
        <f t="shared" si="32"/>
        <v/>
      </c>
      <c r="K157" s="169" t="str">
        <f t="shared" si="32"/>
        <v/>
      </c>
      <c r="L157" s="169" t="str">
        <f t="shared" si="32"/>
        <v/>
      </c>
      <c r="M157" s="169" t="str">
        <f t="shared" si="32"/>
        <v/>
      </c>
      <c r="N157" s="169" t="str">
        <f t="shared" si="32"/>
        <v/>
      </c>
      <c r="O157" s="169" t="str">
        <f t="shared" si="32"/>
        <v/>
      </c>
      <c r="P157" s="169" t="str">
        <f t="shared" si="32"/>
        <v/>
      </c>
      <c r="Q157" s="169" t="str">
        <f t="shared" si="32"/>
        <v/>
      </c>
    </row>
    <row r="158" spans="1:17">
      <c r="D158" s="181"/>
      <c r="E158" s="177" t="s">
        <v>318</v>
      </c>
      <c r="F158" s="182" t="str">
        <f>IFERROR(IF(COUNTIF($G$159:$Q$159,"エラー"),"「 2-9_役員数 ≧ 6-9_役員数」となるように入力してください"," "),$G$142)</f>
        <v xml:space="preserve"> </v>
      </c>
      <c r="G158" s="32"/>
      <c r="H158" s="168"/>
      <c r="I158" s="168"/>
      <c r="J158" s="168"/>
      <c r="K158" s="168"/>
      <c r="L158" s="168"/>
      <c r="M158" s="168"/>
      <c r="N158" s="168"/>
      <c r="O158" s="168"/>
      <c r="P158" s="168"/>
      <c r="Q158" s="187"/>
    </row>
    <row r="159" spans="1:17">
      <c r="D159" s="178"/>
      <c r="E159" s="179"/>
      <c r="F159" s="172" t="s">
        <v>139</v>
      </c>
      <c r="G159" s="169" t="str">
        <f t="shared" ref="G159:Q159" si="33">IFERROR(IF(VALUE(G$41)&gt;=VALUE(G$96),"","エラー"),"エラー")</f>
        <v/>
      </c>
      <c r="H159" s="169" t="str">
        <f t="shared" si="33"/>
        <v/>
      </c>
      <c r="I159" s="169" t="str">
        <f t="shared" si="33"/>
        <v/>
      </c>
      <c r="J159" s="169" t="str">
        <f t="shared" si="33"/>
        <v/>
      </c>
      <c r="K159" s="169" t="str">
        <f t="shared" si="33"/>
        <v/>
      </c>
      <c r="L159" s="169" t="str">
        <f t="shared" si="33"/>
        <v/>
      </c>
      <c r="M159" s="169" t="str">
        <f t="shared" si="33"/>
        <v/>
      </c>
      <c r="N159" s="169" t="str">
        <f t="shared" si="33"/>
        <v/>
      </c>
      <c r="O159" s="169" t="str">
        <f t="shared" si="33"/>
        <v/>
      </c>
      <c r="P159" s="169" t="str">
        <f t="shared" si="33"/>
        <v/>
      </c>
      <c r="Q159" s="169" t="str">
        <f t="shared" si="33"/>
        <v/>
      </c>
    </row>
  </sheetData>
  <sheetProtection algorithmName="SHA-512" hashValue="Y40MAHyHqfQxoCPuL6WJJf9kxuUEEnUpSlZDN5XFf9HPY0O4UFigtP/TG2PJtmptNFg3+AS6WF+ON2qdFcy3AQ==" saltValue="PW5c6XZR//KrMmqhRAV1zg==" spinCount="100000" sheet="1" formatRows="0"/>
  <dataConsolidate/>
  <mergeCells count="6">
    <mergeCell ref="K82:N84"/>
    <mergeCell ref="Q83:Q84"/>
    <mergeCell ref="K27:N29"/>
    <mergeCell ref="P27:Q27"/>
    <mergeCell ref="O28:O29"/>
    <mergeCell ref="P28:Q29"/>
  </mergeCells>
  <phoneticPr fontId="1"/>
  <conditionalFormatting sqref="C5:E5">
    <cfRule type="expression" dxfId="29" priority="423">
      <formula>$C$5&lt;&gt;""</formula>
    </cfRule>
  </conditionalFormatting>
  <conditionalFormatting sqref="G76">
    <cfRule type="expression" dxfId="28" priority="7">
      <formula>$E$78="非該当"</formula>
    </cfRule>
    <cfRule type="expression" dxfId="27" priority="8">
      <formula>$E$8="非該当"</formula>
    </cfRule>
  </conditionalFormatting>
  <conditionalFormatting sqref="G79">
    <cfRule type="expression" dxfId="26" priority="63">
      <formula>OR($G76="T_分類不能の産業",COUNTIF($G78,"*_その他*"),COUNTIF($G78,"*他に分類されない*"))</formula>
    </cfRule>
  </conditionalFormatting>
  <conditionalFormatting sqref="G105">
    <cfRule type="expression" dxfId="25" priority="5">
      <formula>$E$78="非該当"</formula>
    </cfRule>
    <cfRule type="expression" dxfId="24" priority="6">
      <formula>$E$8="非該当"</formula>
    </cfRule>
  </conditionalFormatting>
  <conditionalFormatting sqref="G108">
    <cfRule type="expression" dxfId="23" priority="13">
      <formula>OR($G105="T_分類不能の産業",COUNTIF($G107,"*_その他*"),COUNTIF($G107,"*他に分類されない*"))</formula>
    </cfRule>
  </conditionalFormatting>
  <conditionalFormatting sqref="G126:G138">
    <cfRule type="expression" dxfId="22" priority="701">
      <formula>G126="非該当"</formula>
    </cfRule>
  </conditionalFormatting>
  <conditionalFormatting sqref="G71:L75">
    <cfRule type="expression" dxfId="21" priority="4">
      <formula>$G$70="非該当"</formula>
    </cfRule>
  </conditionalFormatting>
  <conditionalFormatting sqref="H68:H69">
    <cfRule type="expression" dxfId="20" priority="2">
      <formula>G68="非該当"</formula>
    </cfRule>
  </conditionalFormatting>
  <conditionalFormatting sqref="J96:O96">
    <cfRule type="expression" dxfId="19" priority="1">
      <formula>J$13="－"</formula>
    </cfRule>
  </conditionalFormatting>
  <conditionalFormatting sqref="J33:Q35 J36:O36 P36:Q37 I38:Q38 G39:Q39 P40:Q40 J41:Q41 G42:Q46 G49:Q50 J88:Q91 P92:Q92 J93:Q93 G94:Q94 P95:Q96 G97:Q101">
    <cfRule type="expression" dxfId="18" priority="113">
      <formula>G$13="－"</formula>
    </cfRule>
  </conditionalFormatting>
  <dataValidations count="14">
    <dataValidation type="list" allowBlank="1" showInputMessage="1" showErrorMessage="1" sqref="G65:G67 G70" xr:uid="{5397E5CA-C284-4E13-A1F1-1F6E714182CB}">
      <formula1>"該当,非該当"</formula1>
    </dataValidation>
    <dataValidation imeMode="halfAlpha" allowBlank="1" showInputMessage="1" showErrorMessage="1" sqref="G44:Q44 G99:Q99 G95:Q96 G40:Q41 G16:I25 G102 G88:Q93 J49:Q50 G49:I52 G33:Q38" xr:uid="{6A5A844D-CBB4-431B-9220-426C413B1CB7}"/>
    <dataValidation type="date" allowBlank="1" showInputMessage="1" showErrorMessage="1" error="補助事業期間内（2027年12月31日まで）の日付を入力してください" sqref="E10" xr:uid="{D158AA1F-FCD7-41C4-A3A2-7067BA312D60}">
      <formula1>45877</formula1>
      <formula2>46752</formula2>
    </dataValidation>
    <dataValidation operator="lessThanOrEqual" allowBlank="1" showInputMessage="1" showErrorMessage="1" sqref="E9" xr:uid="{79DFC15D-00AA-4A67-B7BF-5C9AD3029107}"/>
    <dataValidation type="list" allowBlank="1" showInputMessage="1" showErrorMessage="1" sqref="E12" xr:uid="{69C10E01-4F50-4791-9866-48907C9C3406}">
      <formula1>$G$12:$P$12</formula1>
    </dataValidation>
    <dataValidation type="list" allowBlank="1" showInputMessage="1" showErrorMessage="1" sqref="E13" xr:uid="{FF079FD2-0202-4076-8015-ACAB6DF2F55D}">
      <formula1>"適用する（確定した決算数値が1期もない事業者のみ選択可能）,適用しない"</formula1>
    </dataValidation>
    <dataValidation operator="greaterThanOrEqual" allowBlank="1" showInputMessage="1" showErrorMessage="1" error="2024年3月1日以降の日付を入力ください" sqref="E7" xr:uid="{7248E0A5-A9AA-42AB-84D4-873788C2A126}"/>
    <dataValidation type="list" allowBlank="1" showInputMessage="1" showErrorMessage="1" sqref="G77" xr:uid="{887C2744-07F3-4187-A5A2-0F530A439161}">
      <formula1>INDIRECT($G$76)</formula1>
    </dataValidation>
    <dataValidation type="list" allowBlank="1" showInputMessage="1" showErrorMessage="1" sqref="G78" xr:uid="{4AC13B82-5E40-4780-BB13-CAAC468D685F}">
      <formula1>INDIRECT("_"&amp;$G$77)</formula1>
    </dataValidation>
    <dataValidation type="list" allowBlank="1" showInputMessage="1" showErrorMessage="1" sqref="G68" xr:uid="{3C808A96-F4BE-40A2-9335-11091729441C}">
      <formula1>"行動計画,トライくるみん,トライくるみんプラス,くるみん,くるみんプラス,プラチナくるみん,プラチナくるみんプラス,非該当"</formula1>
    </dataValidation>
    <dataValidation type="list" allowBlank="1" showInputMessage="1" showErrorMessage="1" sqref="G69" xr:uid="{AE8700D1-2E21-41C2-8BDE-CCA45E22D8CA}">
      <formula1>"行動計画,えるぼし(1段階目),えるぼし(2段階目),えるぼし(3段階目),プラチナえるぼし,非該当"</formula1>
    </dataValidation>
    <dataValidation type="list" allowBlank="1" showInputMessage="1" showErrorMessage="1" sqref="G109:G110 H110:K110" xr:uid="{D0767A08-DE07-4799-AEAA-F60BFA6954D1}">
      <formula1>"北海道,青森,岩手,宮城,秋田,山形,福島,茨城,栃木,群馬,埼玉,千葉,東京,神奈川,新潟,富山,石川,福井,山梨,長野,岐阜,静岡,愛知,三重,滋賀,京都,大阪,兵庫,奈良,和歌山,鳥取,島根,岡山,広島,山口,徳島,香川,愛媛,高知,福岡,佐賀,長崎,熊本,大分,宮崎,鹿児島,沖縄"</formula1>
    </dataValidation>
    <dataValidation type="list" allowBlank="1" showInputMessage="1" showErrorMessage="1" sqref="G106" xr:uid="{C9DBFE08-531F-4185-85F2-F0AB6A451F6A}">
      <formula1>INDIRECT($G$105)</formula1>
    </dataValidation>
    <dataValidation type="list" allowBlank="1" showInputMessage="1" showErrorMessage="1" sqref="G107" xr:uid="{E1404CE3-7B9D-4325-A045-D16F133AA11D}">
      <formula1>INDIRECT("_"&amp;$G$106)</formula1>
    </dataValidation>
  </dataValidations>
  <hyperlinks>
    <hyperlink ref="R51" r:id="rId1" xr:uid="{3A71BB41-B5FC-4254-B371-3770F543CBDE}"/>
    <hyperlink ref="R52" r:id="rId2" xr:uid="{63C26CAA-2192-48E3-B41B-DB6AD3D6BC9F}"/>
    <hyperlink ref="R49" r:id="rId3" xr:uid="{CAA66010-B891-4EAB-9955-188F1CD4E15C}"/>
    <hyperlink ref="R50" r:id="rId4" display="参考：" xr:uid="{4A0D263B-AFC0-4F44-A80B-8EC336292BAC}"/>
    <hyperlink ref="D80" r:id="rId5" xr:uid="{34201397-FC68-4032-ACC7-AC1806911EE5}"/>
    <hyperlink ref="K65" r:id="rId6" display="参考：「地域未来牽引企業」特設サイト" xr:uid="{A961E041-0ECA-4664-986D-0D93D649D48B}"/>
    <hyperlink ref="K66" r:id="rId7" xr:uid="{B545212B-D4E3-4CF2-8C6E-7B77F7CCCB31}"/>
    <hyperlink ref="K67" r:id="rId8" display="参考：「地域未来投資促進法」 （METI/経済産業省）" xr:uid="{1A94465B-FA3A-420F-9A53-D8236E3B9964}"/>
    <hyperlink ref="K68" r:id="rId9" display="https://www.mhlw.go.jp/stf/seisakunitsuite/bunya/kodomo/shokuba_kosodate/kurumin/index.html" xr:uid="{34A7894A-AD82-4207-B837-EEA410FE7301}"/>
    <hyperlink ref="K69" r:id="rId10" display="https://www.mhlw.go.jp/stf/seisakunitsuite/bunya/0000091025.html" xr:uid="{278447B4-A799-4A59-A27E-E6677FB63645}"/>
    <hyperlink ref="K70" r:id="rId11" display="参考：「地域企業経営人材マッチング促進事業｜REVICareer（レビキャリ）」" xr:uid="{8CFBB104-0284-4C6E-996B-8670791DC02B}"/>
    <hyperlink ref="C63:J64" r:id="rId12" display="5-4 次世代育成支援対策推進法に基づく一般事業主行動計画を公表している企業あるいはくるみん認定企業、5-5 女性活躍推進法に基づく一般事業主行動計画を公表している企業あるいはえるぼし認定企業は、" xr:uid="{84C7B135-334F-4949-A678-FB8A050F0DBF}"/>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1">
        <x14:dataValidation type="list" allowBlank="1" showInputMessage="1" showErrorMessage="1" xr:uid="{4AE63398-8564-49DC-BE2A-1EFE5B398495}">
          <x14:formula1>
            <xm:f>【参考】業種!$F$2:$Y$2</xm:f>
          </x14:formula1>
          <xm:sqref>G76 G105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M96"/>
  <sheetViews>
    <sheetView zoomScaleNormal="100" workbookViewId="0"/>
  </sheetViews>
  <sheetFormatPr defaultColWidth="9" defaultRowHeight="18"/>
  <cols>
    <col min="1" max="2" width="3.75" style="1" customWidth="1"/>
    <col min="3" max="4" width="18.75" style="1" customWidth="1"/>
    <col min="5" max="5" width="37.375" style="1" customWidth="1"/>
    <col min="6" max="9" width="23.625" style="1" customWidth="1"/>
    <col min="10" max="10" width="85" style="1" customWidth="1"/>
    <col min="11" max="11" width="3" style="1" customWidth="1"/>
    <col min="12" max="15" width="23.625" style="1" customWidth="1"/>
    <col min="16" max="16" width="60" style="1" customWidth="1"/>
    <col min="17" max="17" width="3" style="1" customWidth="1"/>
    <col min="18" max="21" width="23.625" style="1" customWidth="1"/>
    <col min="22" max="22" width="60" style="1" customWidth="1"/>
    <col min="23" max="23" width="3" style="1" customWidth="1"/>
    <col min="24" max="27" width="23.625" style="1" customWidth="1"/>
    <col min="28" max="28" width="60" style="1" customWidth="1"/>
    <col min="29" max="29" width="3" style="1" customWidth="1"/>
    <col min="30" max="33" width="23.625" style="1" customWidth="1"/>
    <col min="34" max="34" width="60" style="1" customWidth="1"/>
    <col min="35" max="35" width="3" style="1" customWidth="1"/>
    <col min="36" max="39" width="23.625" style="1" customWidth="1"/>
    <col min="40" max="40" width="60" style="1" customWidth="1"/>
    <col min="41" max="41" width="3" style="1" customWidth="1"/>
    <col min="42" max="45" width="23.625" style="1" customWidth="1"/>
    <col min="46" max="46" width="60" style="1" customWidth="1"/>
    <col min="47" max="47" width="3" style="1" customWidth="1"/>
    <col min="48" max="51" width="23.625" style="1" customWidth="1"/>
    <col min="52" max="52" width="60" style="1" customWidth="1"/>
    <col min="53" max="53" width="3" style="1" customWidth="1"/>
    <col min="54" max="57" width="23.625" style="1" customWidth="1"/>
    <col min="58" max="58" width="60" style="1" customWidth="1"/>
    <col min="59" max="59" width="3" style="1" customWidth="1"/>
    <col min="60" max="63" width="23.625" style="1" customWidth="1"/>
    <col min="64" max="64" width="60" style="1" customWidth="1"/>
    <col min="65" max="65" width="3.125" style="1" customWidth="1"/>
    <col min="66" max="16384" width="9" style="1"/>
  </cols>
  <sheetData>
    <row r="1" spans="1:64" ht="14.45" customHeight="1">
      <c r="A1" s="96" t="s">
        <v>0</v>
      </c>
      <c r="D1" s="3"/>
    </row>
    <row r="2" spans="1:64" ht="7.5" customHeight="1">
      <c r="A2" s="39"/>
      <c r="D2" s="3"/>
    </row>
    <row r="3" spans="1:64" ht="22.5">
      <c r="B3" s="66" t="s">
        <v>319</v>
      </c>
    </row>
    <row r="4" spans="1:64" ht="16.149999999999999" customHeight="1">
      <c r="B4" s="114"/>
      <c r="D4" s="3"/>
    </row>
    <row r="5" spans="1:64">
      <c r="C5" s="60" t="s">
        <v>320</v>
      </c>
    </row>
    <row r="6" spans="1:64">
      <c r="C6" s="60" t="s">
        <v>321</v>
      </c>
    </row>
    <row r="7" spans="1:64">
      <c r="C7" s="60" t="s">
        <v>322</v>
      </c>
    </row>
    <row r="8" spans="1:64">
      <c r="C8" s="60" t="s">
        <v>323</v>
      </c>
    </row>
    <row r="9" spans="1:64">
      <c r="C9" s="60" t="s">
        <v>324</v>
      </c>
    </row>
    <row r="10" spans="1:64">
      <c r="C10" s="60" t="s">
        <v>325</v>
      </c>
    </row>
    <row r="11" spans="1:64">
      <c r="C11" s="60"/>
    </row>
    <row r="12" spans="1:64" ht="20.100000000000001">
      <c r="B12" s="17" t="s">
        <v>326</v>
      </c>
      <c r="J12" s="3" t="s">
        <v>327</v>
      </c>
      <c r="P12" s="3" t="s">
        <v>327</v>
      </c>
      <c r="V12" s="3" t="s">
        <v>327</v>
      </c>
      <c r="AB12" s="3" t="s">
        <v>327</v>
      </c>
      <c r="AH12" s="3" t="s">
        <v>327</v>
      </c>
      <c r="AN12" s="3" t="s">
        <v>327</v>
      </c>
      <c r="AT12" s="3" t="s">
        <v>327</v>
      </c>
      <c r="AZ12" s="3" t="s">
        <v>327</v>
      </c>
      <c r="BF12" s="3" t="s">
        <v>327</v>
      </c>
      <c r="BL12" s="3" t="s">
        <v>327</v>
      </c>
    </row>
    <row r="13" spans="1:64">
      <c r="F13" s="122" t="str">
        <f>"事業者名："&amp;①申請者情報!$E$17</f>
        <v>事業者名：</v>
      </c>
      <c r="G13" s="123"/>
      <c r="H13" s="123"/>
      <c r="I13" s="208"/>
      <c r="J13" s="124"/>
      <c r="L13" s="125" t="str">
        <f>"事業者名2："&amp;①申請者情報!$E$44</f>
        <v>事業者名2：</v>
      </c>
      <c r="M13" s="123"/>
      <c r="N13" s="123"/>
      <c r="O13" s="208"/>
      <c r="P13" s="124"/>
      <c r="R13" s="125" t="str">
        <f>"事業者名3："&amp;①申請者情報!$E$47</f>
        <v>事業者名3：</v>
      </c>
      <c r="S13" s="123"/>
      <c r="T13" s="123"/>
      <c r="U13" s="208"/>
      <c r="V13" s="124"/>
      <c r="X13" s="125" t="str">
        <f>"事業者名4："&amp;①申請者情報!$E$50</f>
        <v>事業者名4：</v>
      </c>
      <c r="Y13" s="123"/>
      <c r="Z13" s="123"/>
      <c r="AA13" s="208"/>
      <c r="AB13" s="124"/>
      <c r="AD13" s="125" t="str">
        <f>"事業者名5："&amp;①申請者情報!$E$53</f>
        <v>事業者名5：</v>
      </c>
      <c r="AE13" s="123"/>
      <c r="AF13" s="123"/>
      <c r="AG13" s="208"/>
      <c r="AH13" s="124"/>
      <c r="AJ13" s="125" t="str">
        <f>"事業者名6："&amp;①申請者情報!$E$56</f>
        <v>事業者名6：</v>
      </c>
      <c r="AK13" s="123"/>
      <c r="AL13" s="123"/>
      <c r="AM13" s="208"/>
      <c r="AN13" s="124"/>
      <c r="AP13" s="125" t="str">
        <f>"事業者名7："&amp;①申請者情報!$E$59</f>
        <v>事業者名7：</v>
      </c>
      <c r="AQ13" s="123"/>
      <c r="AR13" s="123"/>
      <c r="AS13" s="208"/>
      <c r="AT13" s="124"/>
      <c r="AV13" s="125" t="str">
        <f>"事業者名8："&amp;①申請者情報!$E$62</f>
        <v>事業者名8：</v>
      </c>
      <c r="AW13" s="123"/>
      <c r="AX13" s="123"/>
      <c r="AY13" s="208"/>
      <c r="AZ13" s="124"/>
      <c r="BB13" s="125" t="str">
        <f>"事業者名9："&amp;①申請者情報!$E$65</f>
        <v>事業者名9：</v>
      </c>
      <c r="BC13" s="123"/>
      <c r="BD13" s="123"/>
      <c r="BE13" s="208"/>
      <c r="BF13" s="124"/>
      <c r="BH13" s="125" t="str">
        <f>"事業者名10："&amp;①申請者情報!$E$68</f>
        <v>事業者名10：</v>
      </c>
      <c r="BI13" s="123"/>
      <c r="BJ13" s="123"/>
      <c r="BK13" s="208"/>
      <c r="BL13" s="124"/>
    </row>
    <row r="14" spans="1:64" s="2" customFormat="1" ht="36">
      <c r="C14" s="279" t="s">
        <v>328</v>
      </c>
      <c r="D14" s="68" t="s">
        <v>329</v>
      </c>
      <c r="E14" s="69"/>
      <c r="F14" s="70" t="s">
        <v>330</v>
      </c>
      <c r="G14" s="70" t="s">
        <v>331</v>
      </c>
      <c r="H14" s="70" t="s">
        <v>332</v>
      </c>
      <c r="I14" s="70" t="s">
        <v>333</v>
      </c>
      <c r="J14" s="71" t="s">
        <v>334</v>
      </c>
      <c r="L14" s="72" t="s">
        <v>330</v>
      </c>
      <c r="M14" s="70" t="s">
        <v>331</v>
      </c>
      <c r="N14" s="70" t="s">
        <v>332</v>
      </c>
      <c r="O14" s="209" t="s">
        <v>333</v>
      </c>
      <c r="P14" s="71" t="s">
        <v>334</v>
      </c>
      <c r="R14" s="72" t="s">
        <v>330</v>
      </c>
      <c r="S14" s="70" t="s">
        <v>331</v>
      </c>
      <c r="T14" s="70" t="s">
        <v>332</v>
      </c>
      <c r="U14" s="209" t="s">
        <v>333</v>
      </c>
      <c r="V14" s="71" t="s">
        <v>334</v>
      </c>
      <c r="X14" s="72" t="s">
        <v>330</v>
      </c>
      <c r="Y14" s="70" t="s">
        <v>331</v>
      </c>
      <c r="Z14" s="70" t="s">
        <v>332</v>
      </c>
      <c r="AA14" s="209" t="s">
        <v>333</v>
      </c>
      <c r="AB14" s="71" t="s">
        <v>334</v>
      </c>
      <c r="AD14" s="72" t="s">
        <v>330</v>
      </c>
      <c r="AE14" s="70" t="s">
        <v>331</v>
      </c>
      <c r="AF14" s="70" t="s">
        <v>332</v>
      </c>
      <c r="AG14" s="209" t="s">
        <v>333</v>
      </c>
      <c r="AH14" s="71" t="s">
        <v>334</v>
      </c>
      <c r="AJ14" s="72" t="s">
        <v>330</v>
      </c>
      <c r="AK14" s="70" t="s">
        <v>331</v>
      </c>
      <c r="AL14" s="70" t="s">
        <v>332</v>
      </c>
      <c r="AM14" s="209" t="s">
        <v>333</v>
      </c>
      <c r="AN14" s="71" t="s">
        <v>334</v>
      </c>
      <c r="AP14" s="72" t="s">
        <v>330</v>
      </c>
      <c r="AQ14" s="70" t="s">
        <v>331</v>
      </c>
      <c r="AR14" s="70" t="s">
        <v>332</v>
      </c>
      <c r="AS14" s="209" t="s">
        <v>333</v>
      </c>
      <c r="AT14" s="71" t="s">
        <v>334</v>
      </c>
      <c r="AV14" s="72" t="s">
        <v>330</v>
      </c>
      <c r="AW14" s="70" t="s">
        <v>331</v>
      </c>
      <c r="AX14" s="70" t="s">
        <v>332</v>
      </c>
      <c r="AY14" s="209" t="s">
        <v>333</v>
      </c>
      <c r="AZ14" s="71" t="s">
        <v>334</v>
      </c>
      <c r="BB14" s="72" t="s">
        <v>330</v>
      </c>
      <c r="BC14" s="70" t="s">
        <v>331</v>
      </c>
      <c r="BD14" s="70" t="s">
        <v>332</v>
      </c>
      <c r="BE14" s="209" t="s">
        <v>333</v>
      </c>
      <c r="BF14" s="71" t="s">
        <v>334</v>
      </c>
      <c r="BH14" s="72" t="s">
        <v>330</v>
      </c>
      <c r="BI14" s="70" t="s">
        <v>331</v>
      </c>
      <c r="BJ14" s="70" t="s">
        <v>332</v>
      </c>
      <c r="BK14" s="209" t="s">
        <v>333</v>
      </c>
      <c r="BL14" s="71" t="s">
        <v>334</v>
      </c>
    </row>
    <row r="15" spans="1:64" s="2" customFormat="1" ht="29.25" customHeight="1">
      <c r="C15" s="280" t="s">
        <v>335</v>
      </c>
      <c r="D15" s="22" t="s">
        <v>336</v>
      </c>
      <c r="E15" s="74" t="s">
        <v>337</v>
      </c>
      <c r="F15" s="269">
        <f t="shared" ref="F15:G17" si="0">SUM(F19,F23,F27,F31,F35)</f>
        <v>0</v>
      </c>
      <c r="G15" s="269">
        <f t="shared" si="0"/>
        <v>0</v>
      </c>
      <c r="H15" s="277"/>
      <c r="I15" s="277"/>
      <c r="J15" s="71" t="str">
        <f>IF(OR(H19&gt;0,H23&gt;0,H27&gt;0,H31&gt;0,H35&gt;0),"⇐支払いは令和8年度になります。","")</f>
        <v/>
      </c>
      <c r="L15" s="270">
        <f t="shared" ref="L15:M17" si="1">SUM(L19,L23,L27,L31,L35)</f>
        <v>0</v>
      </c>
      <c r="M15" s="269">
        <f t="shared" si="1"/>
        <v>0</v>
      </c>
      <c r="N15" s="284"/>
      <c r="O15" s="284"/>
      <c r="P15" s="71" t="str">
        <f>IF(OR(N19&gt;0,N23&gt;0,N27&gt;0,N31&gt;0,N35&gt;0),"⇐支払いは令和8年度になります。","")</f>
        <v/>
      </c>
      <c r="R15" s="270">
        <f t="shared" ref="R15:S17" si="2">SUM(R19,R23,R27,R31,R35)</f>
        <v>0</v>
      </c>
      <c r="S15" s="269">
        <f t="shared" si="2"/>
        <v>0</v>
      </c>
      <c r="T15" s="284"/>
      <c r="U15" s="284"/>
      <c r="V15" s="71" t="str">
        <f>IF(OR(T19&gt;0,T23&gt;0,T27&gt;0,T31&gt;0,T35&gt;0),"⇐支払いは令和8年度になります。","")</f>
        <v/>
      </c>
      <c r="X15" s="270">
        <f t="shared" ref="X15:Y17" si="3">SUM(X19,X23,X27,X31,X35)</f>
        <v>0</v>
      </c>
      <c r="Y15" s="269">
        <f t="shared" si="3"/>
        <v>0</v>
      </c>
      <c r="Z15" s="284"/>
      <c r="AA15" s="284"/>
      <c r="AB15" s="71" t="str">
        <f>IF(OR(Z19&gt;0,Z23&gt;0,Z27&gt;0,Z31&gt;0,Z35&gt;0),"⇐支払いは令和8年度になります。","")</f>
        <v/>
      </c>
      <c r="AD15" s="270">
        <f t="shared" ref="AD15:AE17" si="4">SUM(AD19,AD23,AD27,AD31,AD35)</f>
        <v>0</v>
      </c>
      <c r="AE15" s="269">
        <f t="shared" si="4"/>
        <v>0</v>
      </c>
      <c r="AF15" s="284"/>
      <c r="AG15" s="284"/>
      <c r="AH15" s="71" t="str">
        <f>IF(OR(AF19&gt;0,AF23&gt;0,AF27&gt;0,AF31&gt;0,AF35&gt;0),"⇐支払いは令和8年度になります。","")</f>
        <v/>
      </c>
      <c r="AJ15" s="270">
        <f t="shared" ref="AJ15:AK17" si="5">SUM(AJ19,AJ23,AJ27,AJ31,AJ35)</f>
        <v>0</v>
      </c>
      <c r="AK15" s="269">
        <f t="shared" si="5"/>
        <v>0</v>
      </c>
      <c r="AL15" s="284"/>
      <c r="AM15" s="284"/>
      <c r="AN15" s="71" t="str">
        <f>IF(OR(AL19&gt;0,AL23&gt;0,AL27&gt;0,AL31&gt;0,AL35&gt;0),"⇐支払いは令和8年度になります。","")</f>
        <v/>
      </c>
      <c r="AP15" s="270">
        <f t="shared" ref="AP15:AQ17" si="6">SUM(AP19,AP23,AP27,AP31,AP35)</f>
        <v>0</v>
      </c>
      <c r="AQ15" s="269">
        <f t="shared" si="6"/>
        <v>0</v>
      </c>
      <c r="AR15" s="284"/>
      <c r="AS15" s="284"/>
      <c r="AT15" s="71" t="str">
        <f>IF(OR(AR19&gt;0,AR23&gt;0,AR27&gt;0,AR31&gt;0,AR35&gt;0),"⇐支払いは令和8年度になります。","")</f>
        <v/>
      </c>
      <c r="AV15" s="270">
        <f t="shared" ref="AV15:AW17" si="7">SUM(AV19,AV23,AV27,AV31,AV35)</f>
        <v>0</v>
      </c>
      <c r="AW15" s="269">
        <f t="shared" si="7"/>
        <v>0</v>
      </c>
      <c r="AX15" s="284"/>
      <c r="AY15" s="284"/>
      <c r="AZ15" s="71" t="str">
        <f>IF(OR(AX19&gt;0,AX23&gt;0,AX27&gt;0,AX31&gt;0,AX35&gt;0),"⇐支払いは令和8年度になります。","")</f>
        <v/>
      </c>
      <c r="BB15" s="270">
        <f t="shared" ref="BB15:BC17" si="8">SUM(BB19,BB23,BB27,BB31,BB35)</f>
        <v>0</v>
      </c>
      <c r="BC15" s="269">
        <f t="shared" si="8"/>
        <v>0</v>
      </c>
      <c r="BD15" s="284"/>
      <c r="BE15" s="284"/>
      <c r="BF15" s="71" t="str">
        <f>IF(OR(BD19&gt;0,BD23&gt;0,BD27&gt;0,BD31&gt;0,BD35&gt;0),"⇐支払いは令和8年度になります。","")</f>
        <v/>
      </c>
      <c r="BH15" s="270">
        <f t="shared" ref="BH15:BI17" si="9">SUM(BH19,BH23,BH27,BH31,BH35)</f>
        <v>0</v>
      </c>
      <c r="BI15" s="269">
        <f t="shared" si="9"/>
        <v>0</v>
      </c>
      <c r="BJ15" s="284"/>
      <c r="BK15" s="284"/>
      <c r="BL15" s="71" t="str">
        <f>IF(OR(BJ19&gt;0,BJ23&gt;0,BJ27&gt;0,BJ31&gt;0,BJ35&gt;0),"⇐支払いは令和8年度になります。","")</f>
        <v/>
      </c>
    </row>
    <row r="16" spans="1:64" s="2" customFormat="1" ht="29.25" customHeight="1">
      <c r="C16" s="281" t="s">
        <v>335</v>
      </c>
      <c r="D16" s="22" t="s">
        <v>338</v>
      </c>
      <c r="E16" s="74" t="s">
        <v>339</v>
      </c>
      <c r="F16" s="269">
        <f t="shared" si="0"/>
        <v>0</v>
      </c>
      <c r="G16" s="269">
        <f t="shared" si="0"/>
        <v>0</v>
      </c>
      <c r="H16" s="269">
        <f>SUM(H19,H23,H27,H31,H35)+SUM(H20,H24,H28,H32,H36)</f>
        <v>0</v>
      </c>
      <c r="I16" s="269">
        <f>SUM(I19,I23,I27,I31,I35)+SUM(I20,I24,I28,I32,I36)</f>
        <v>0</v>
      </c>
      <c r="J16" s="71"/>
      <c r="L16" s="270">
        <f t="shared" si="1"/>
        <v>0</v>
      </c>
      <c r="M16" s="269">
        <f t="shared" si="1"/>
        <v>0</v>
      </c>
      <c r="N16" s="269">
        <f>SUM(N19,N23,N27,N31,N35)+SUM(N20,N24,N28,N32,N36)</f>
        <v>0</v>
      </c>
      <c r="O16" s="271">
        <f>SUM(O19,O23,O27,O31,O35)+SUM(O20,O24,O28,O32,O36)</f>
        <v>0</v>
      </c>
      <c r="P16" s="71"/>
      <c r="R16" s="270">
        <f t="shared" si="2"/>
        <v>0</v>
      </c>
      <c r="S16" s="269">
        <f t="shared" si="2"/>
        <v>0</v>
      </c>
      <c r="T16" s="269">
        <f>SUM(T19,T23,T27,T31,T35)+SUM(T20,T24,T28,T32,T36)</f>
        <v>0</v>
      </c>
      <c r="U16" s="271">
        <f>SUM(U19,U23,U27,U31,U35)+SUM(U20,U24,U28,U32,U36)</f>
        <v>0</v>
      </c>
      <c r="V16" s="71"/>
      <c r="X16" s="270">
        <f t="shared" si="3"/>
        <v>0</v>
      </c>
      <c r="Y16" s="269">
        <f t="shared" si="3"/>
        <v>0</v>
      </c>
      <c r="Z16" s="269">
        <f>SUM(Z19,Z23,Z27,Z31,Z35)+SUM(Z20,Z24,Z28,Z32,Z36)</f>
        <v>0</v>
      </c>
      <c r="AA16" s="271">
        <f>SUM(AA19,AA23,AA27,AA31,AA35)+SUM(AA20,AA24,AA28,AA32,AA36)</f>
        <v>0</v>
      </c>
      <c r="AB16" s="71"/>
      <c r="AD16" s="270">
        <f t="shared" si="4"/>
        <v>0</v>
      </c>
      <c r="AE16" s="269">
        <f t="shared" si="4"/>
        <v>0</v>
      </c>
      <c r="AF16" s="269">
        <f>SUM(AF19,AF23,AF27,AF31,AF35)+SUM(AF20,AF24,AF28,AF32,AF36)</f>
        <v>0</v>
      </c>
      <c r="AG16" s="271">
        <f>SUM(AG19,AG23,AG27,AG31,AG35)+SUM(AG20,AG24,AG28,AG32,AG36)</f>
        <v>0</v>
      </c>
      <c r="AH16" s="71"/>
      <c r="AJ16" s="270">
        <f t="shared" si="5"/>
        <v>0</v>
      </c>
      <c r="AK16" s="269">
        <f t="shared" si="5"/>
        <v>0</v>
      </c>
      <c r="AL16" s="269">
        <f>SUM(AL19,AL23,AL27,AL31,AL35)+SUM(AL20,AL24,AL28,AL32,AL36)</f>
        <v>0</v>
      </c>
      <c r="AM16" s="271">
        <f>SUM(AM19,AM23,AM27,AM31,AM35)+SUM(AM20,AM24,AM28,AM32,AM36)</f>
        <v>0</v>
      </c>
      <c r="AN16" s="71"/>
      <c r="AP16" s="270">
        <f t="shared" si="6"/>
        <v>0</v>
      </c>
      <c r="AQ16" s="269">
        <f t="shared" si="6"/>
        <v>0</v>
      </c>
      <c r="AR16" s="269">
        <f>SUM(AR19,AR23,AR27,AR31,AR35)+SUM(AR20,AR24,AR28,AR32,AR36)</f>
        <v>0</v>
      </c>
      <c r="AS16" s="271">
        <f>SUM(AS19,AS23,AS27,AS31,AS35)+SUM(AS20,AS24,AS28,AS32,AS36)</f>
        <v>0</v>
      </c>
      <c r="AT16" s="71"/>
      <c r="AV16" s="270">
        <f t="shared" si="7"/>
        <v>0</v>
      </c>
      <c r="AW16" s="269">
        <f t="shared" si="7"/>
        <v>0</v>
      </c>
      <c r="AX16" s="269">
        <f>SUM(AX19,AX23,AX27,AX31,AX35)+SUM(AX20,AX24,AX28,AX32,AX36)</f>
        <v>0</v>
      </c>
      <c r="AY16" s="271">
        <f>SUM(AY19,AY23,AY27,AY31,AY35)+SUM(AY20,AY24,AY28,AY32,AY36)</f>
        <v>0</v>
      </c>
      <c r="AZ16" s="71"/>
      <c r="BB16" s="270">
        <f t="shared" si="8"/>
        <v>0</v>
      </c>
      <c r="BC16" s="269">
        <f t="shared" si="8"/>
        <v>0</v>
      </c>
      <c r="BD16" s="269">
        <f>SUM(BD19,BD23,BD27,BD31,BD35)+SUM(BD20,BD24,BD28,BD32,BD36)</f>
        <v>0</v>
      </c>
      <c r="BE16" s="271">
        <f>SUM(BE19,BE23,BE27,BE31,BE35)+SUM(BE20,BE24,BE28,BE32,BE36)</f>
        <v>0</v>
      </c>
      <c r="BF16" s="71"/>
      <c r="BH16" s="270">
        <f t="shared" si="9"/>
        <v>0</v>
      </c>
      <c r="BI16" s="269">
        <f t="shared" si="9"/>
        <v>0</v>
      </c>
      <c r="BJ16" s="269">
        <f>SUM(BJ19,BJ23,BJ27,BJ31,BJ35)+SUM(BJ20,BJ24,BJ28,BJ32,BJ36)</f>
        <v>0</v>
      </c>
      <c r="BK16" s="271">
        <f>SUM(BK19,BK23,BK27,BK31,BK35)+SUM(BK20,BK24,BK28,BK32,BK36)</f>
        <v>0</v>
      </c>
      <c r="BL16" s="71"/>
    </row>
    <row r="17" spans="3:65" s="2" customFormat="1" ht="29.25" customHeight="1">
      <c r="C17" s="281" t="s">
        <v>335</v>
      </c>
      <c r="D17" s="22" t="s">
        <v>340</v>
      </c>
      <c r="E17" s="74" t="s">
        <v>341</v>
      </c>
      <c r="F17" s="269">
        <f t="shared" si="0"/>
        <v>0</v>
      </c>
      <c r="G17" s="269">
        <f t="shared" si="0"/>
        <v>0</v>
      </c>
      <c r="H17" s="269">
        <f>SUM(H21,H25,H29,H33,H37)</f>
        <v>0</v>
      </c>
      <c r="I17" s="271">
        <f>SUM(I21,I25,I29,I33,I37)</f>
        <v>0</v>
      </c>
      <c r="J17" s="71"/>
      <c r="L17" s="270">
        <f t="shared" si="1"/>
        <v>0</v>
      </c>
      <c r="M17" s="269">
        <f t="shared" si="1"/>
        <v>0</v>
      </c>
      <c r="N17" s="269">
        <f>SUM(N21,N25,N29,N33,N37)</f>
        <v>0</v>
      </c>
      <c r="O17" s="271">
        <f>SUM(O21,O25,O29,O33,O37)</f>
        <v>0</v>
      </c>
      <c r="P17" s="71"/>
      <c r="R17" s="270">
        <f t="shared" si="2"/>
        <v>0</v>
      </c>
      <c r="S17" s="269">
        <f t="shared" si="2"/>
        <v>0</v>
      </c>
      <c r="T17" s="269">
        <f>SUM(T21,T25,T29,T33,T37)</f>
        <v>0</v>
      </c>
      <c r="U17" s="271">
        <f>SUM(U21,U25,U29,U33,U37)</f>
        <v>0</v>
      </c>
      <c r="V17" s="71"/>
      <c r="X17" s="270">
        <f t="shared" si="3"/>
        <v>0</v>
      </c>
      <c r="Y17" s="269">
        <f t="shared" si="3"/>
        <v>0</v>
      </c>
      <c r="Z17" s="269">
        <f>SUM(Z21,Z25,Z29,Z33,Z37)</f>
        <v>0</v>
      </c>
      <c r="AA17" s="271">
        <f>SUM(AA21,AA25,AA29,AA33,AA37)</f>
        <v>0</v>
      </c>
      <c r="AB17" s="71"/>
      <c r="AD17" s="270">
        <f t="shared" si="4"/>
        <v>0</v>
      </c>
      <c r="AE17" s="269">
        <f t="shared" si="4"/>
        <v>0</v>
      </c>
      <c r="AF17" s="269">
        <f>SUM(AF21,AF25,AF29,AF33,AF37)</f>
        <v>0</v>
      </c>
      <c r="AG17" s="271">
        <f>SUM(AG21,AG25,AG29,AG33,AG37)</f>
        <v>0</v>
      </c>
      <c r="AH17" s="71"/>
      <c r="AJ17" s="270">
        <f t="shared" si="5"/>
        <v>0</v>
      </c>
      <c r="AK17" s="269">
        <f t="shared" si="5"/>
        <v>0</v>
      </c>
      <c r="AL17" s="269">
        <f>SUM(AL21,AL25,AL29,AL33,AL37)</f>
        <v>0</v>
      </c>
      <c r="AM17" s="271">
        <f>SUM(AM21,AM25,AM29,AM33,AM37)</f>
        <v>0</v>
      </c>
      <c r="AN17" s="71"/>
      <c r="AP17" s="270">
        <f t="shared" si="6"/>
        <v>0</v>
      </c>
      <c r="AQ17" s="269">
        <f t="shared" si="6"/>
        <v>0</v>
      </c>
      <c r="AR17" s="269">
        <f>SUM(AR21,AR25,AR29,AR33,AR37)</f>
        <v>0</v>
      </c>
      <c r="AS17" s="271">
        <f>SUM(AS21,AS25,AS29,AS33,AS37)</f>
        <v>0</v>
      </c>
      <c r="AT17" s="71"/>
      <c r="AV17" s="270">
        <f t="shared" si="7"/>
        <v>0</v>
      </c>
      <c r="AW17" s="269">
        <f t="shared" si="7"/>
        <v>0</v>
      </c>
      <c r="AX17" s="269">
        <f>SUM(AX21,AX25,AX29,AX33,AX37)</f>
        <v>0</v>
      </c>
      <c r="AY17" s="271">
        <f>SUM(AY21,AY25,AY29,AY33,AY37)</f>
        <v>0</v>
      </c>
      <c r="AZ17" s="71"/>
      <c r="BB17" s="270">
        <f t="shared" si="8"/>
        <v>0</v>
      </c>
      <c r="BC17" s="269">
        <f t="shared" si="8"/>
        <v>0</v>
      </c>
      <c r="BD17" s="269">
        <f>SUM(BD21,BD25,BD29,BD33,BD37)</f>
        <v>0</v>
      </c>
      <c r="BE17" s="271">
        <f>SUM(BE21,BE25,BE29,BE33,BE37)</f>
        <v>0</v>
      </c>
      <c r="BF17" s="71"/>
      <c r="BH17" s="270">
        <f t="shared" si="9"/>
        <v>0</v>
      </c>
      <c r="BI17" s="269">
        <f t="shared" si="9"/>
        <v>0</v>
      </c>
      <c r="BJ17" s="269">
        <f>SUM(BJ21,BJ25,BJ29,BJ33,BJ37)</f>
        <v>0</v>
      </c>
      <c r="BK17" s="271">
        <f>SUM(BK21,BK25,BK29,BK33,BK37)</f>
        <v>0</v>
      </c>
      <c r="BL17" s="71"/>
    </row>
    <row r="18" spans="3:65" s="2" customFormat="1" ht="29.25" customHeight="1">
      <c r="C18" s="282" t="s">
        <v>335</v>
      </c>
      <c r="D18" s="272" t="s">
        <v>342</v>
      </c>
      <c r="E18" s="273" t="s">
        <v>343</v>
      </c>
      <c r="F18" s="274">
        <f>SUM(F39:F41)</f>
        <v>0</v>
      </c>
      <c r="G18" s="274">
        <f>SUM(G39:G41)</f>
        <v>0</v>
      </c>
      <c r="H18" s="274">
        <f>SUM(H39:H41)</f>
        <v>0</v>
      </c>
      <c r="I18" s="275">
        <f>SUM(I39:I41)</f>
        <v>0</v>
      </c>
      <c r="J18" s="276"/>
      <c r="L18" s="283">
        <f>SUM(L39:L41)</f>
        <v>0</v>
      </c>
      <c r="M18" s="274">
        <f>SUM(M39:M41)</f>
        <v>0</v>
      </c>
      <c r="N18" s="274">
        <f>SUM(N39:N41)</f>
        <v>0</v>
      </c>
      <c r="O18" s="275">
        <f>SUM(O39:O41)</f>
        <v>0</v>
      </c>
      <c r="P18" s="276"/>
      <c r="R18" s="283">
        <f>SUM(R39:R41)</f>
        <v>0</v>
      </c>
      <c r="S18" s="274">
        <f>SUM(S39:S41)</f>
        <v>0</v>
      </c>
      <c r="T18" s="274">
        <f>SUM(T39:T41)</f>
        <v>0</v>
      </c>
      <c r="U18" s="275">
        <f>SUM(U39:U41)</f>
        <v>0</v>
      </c>
      <c r="V18" s="276"/>
      <c r="X18" s="283">
        <f>SUM(X39:X41)</f>
        <v>0</v>
      </c>
      <c r="Y18" s="274">
        <f>SUM(Y39:Y41)</f>
        <v>0</v>
      </c>
      <c r="Z18" s="274">
        <f>SUM(Z39:Z41)</f>
        <v>0</v>
      </c>
      <c r="AA18" s="275">
        <f>SUM(AA39:AA41)</f>
        <v>0</v>
      </c>
      <c r="AB18" s="276"/>
      <c r="AD18" s="283">
        <f>SUM(AD39:AD41)</f>
        <v>0</v>
      </c>
      <c r="AE18" s="274">
        <f>SUM(AE39:AE41)</f>
        <v>0</v>
      </c>
      <c r="AF18" s="274">
        <f>SUM(AF39:AF41)</f>
        <v>0</v>
      </c>
      <c r="AG18" s="275">
        <f>SUM(AG39:AG41)</f>
        <v>0</v>
      </c>
      <c r="AH18" s="276"/>
      <c r="AJ18" s="283">
        <f>SUM(AJ39:AJ41)</f>
        <v>0</v>
      </c>
      <c r="AK18" s="274">
        <f>SUM(AK39:AK41)</f>
        <v>0</v>
      </c>
      <c r="AL18" s="274">
        <f>SUM(AL39:AL41)</f>
        <v>0</v>
      </c>
      <c r="AM18" s="275">
        <f>SUM(AM39:AM41)</f>
        <v>0</v>
      </c>
      <c r="AN18" s="276"/>
      <c r="AP18" s="283">
        <f>SUM(AP39:AP41)</f>
        <v>0</v>
      </c>
      <c r="AQ18" s="274">
        <f>SUM(AQ39:AQ41)</f>
        <v>0</v>
      </c>
      <c r="AR18" s="274">
        <f>SUM(AR39:AR41)</f>
        <v>0</v>
      </c>
      <c r="AS18" s="275">
        <f>SUM(AS39:AS41)</f>
        <v>0</v>
      </c>
      <c r="AT18" s="276"/>
      <c r="AV18" s="283">
        <f>SUM(AV39:AV41)</f>
        <v>0</v>
      </c>
      <c r="AW18" s="274">
        <f>SUM(AW39:AW41)</f>
        <v>0</v>
      </c>
      <c r="AX18" s="274">
        <f>SUM(AX39:AX41)</f>
        <v>0</v>
      </c>
      <c r="AY18" s="275">
        <f>SUM(AY39:AY41)</f>
        <v>0</v>
      </c>
      <c r="AZ18" s="276"/>
      <c r="BB18" s="283">
        <f>SUM(BB39:BB41)</f>
        <v>0</v>
      </c>
      <c r="BC18" s="274">
        <f>SUM(BC39:BC41)</f>
        <v>0</v>
      </c>
      <c r="BD18" s="274">
        <f>SUM(BD39:BD41)</f>
        <v>0</v>
      </c>
      <c r="BE18" s="275">
        <f>SUM(BE39:BE41)</f>
        <v>0</v>
      </c>
      <c r="BF18" s="276"/>
      <c r="BH18" s="283">
        <f>SUM(BH39:BH41)</f>
        <v>0</v>
      </c>
      <c r="BI18" s="274">
        <f>SUM(BI39:BI41)</f>
        <v>0</v>
      </c>
      <c r="BJ18" s="274">
        <f>SUM(BJ39:BJ41)</f>
        <v>0</v>
      </c>
      <c r="BK18" s="275">
        <f>SUM(BK39:BK41)</f>
        <v>0</v>
      </c>
      <c r="BL18" s="276"/>
    </row>
    <row r="19" spans="3:65" ht="29.25" customHeight="1">
      <c r="C19" s="280" t="s">
        <v>344</v>
      </c>
      <c r="D19" s="22" t="s">
        <v>345</v>
      </c>
      <c r="E19" s="74" t="s">
        <v>346</v>
      </c>
      <c r="F19" s="91"/>
      <c r="G19" s="91"/>
      <c r="H19" s="278">
        <f>G19/3</f>
        <v>0</v>
      </c>
      <c r="I19" s="278">
        <f>G19/4</f>
        <v>0</v>
      </c>
      <c r="J19" s="250"/>
      <c r="K19" s="1" t="str">
        <f>IFERROR(IF(AND(VALUE(F19)&gt;=VALUE(G19),VALUE(G19)&gt;=VALUE(H19)),"",1),"")</f>
        <v/>
      </c>
      <c r="L19" s="93"/>
      <c r="M19" s="91"/>
      <c r="N19" s="278">
        <f t="shared" ref="N19:N21" si="10">M19/3</f>
        <v>0</v>
      </c>
      <c r="O19" s="285">
        <f>M19/4</f>
        <v>0</v>
      </c>
      <c r="P19" s="250"/>
      <c r="Q19" s="1" t="str">
        <f>IFERROR(IF(AND(VALUE(L19)&gt;=VALUE(M19),VALUE(M19)&gt;=VALUE(N19)),"",1),"")</f>
        <v/>
      </c>
      <c r="R19" s="93"/>
      <c r="S19" s="91"/>
      <c r="T19" s="278">
        <f t="shared" ref="T19:T21" si="11">S19/3</f>
        <v>0</v>
      </c>
      <c r="U19" s="285">
        <f>S19/4</f>
        <v>0</v>
      </c>
      <c r="V19" s="250"/>
      <c r="W19" s="1" t="str">
        <f>IFERROR(IF(AND(VALUE(R19)&gt;=VALUE(S19),VALUE(S19)&gt;=VALUE(T19)),"",1),"")</f>
        <v/>
      </c>
      <c r="X19" s="93"/>
      <c r="Y19" s="91"/>
      <c r="Z19" s="278">
        <f t="shared" ref="Z19:Z21" si="12">Y19/3</f>
        <v>0</v>
      </c>
      <c r="AA19" s="285">
        <f>Y19/4</f>
        <v>0</v>
      </c>
      <c r="AB19" s="250"/>
      <c r="AC19" s="1" t="str">
        <f>IFERROR(IF(AND(VALUE(X19)&gt;=VALUE(Y19),VALUE(Y19)&gt;=VALUE(Z19)),"",1),"")</f>
        <v/>
      </c>
      <c r="AD19" s="93"/>
      <c r="AE19" s="91"/>
      <c r="AF19" s="278">
        <f t="shared" ref="AF19:AF21" si="13">AE19/3</f>
        <v>0</v>
      </c>
      <c r="AG19" s="285">
        <f>AE19/4</f>
        <v>0</v>
      </c>
      <c r="AH19" s="250"/>
      <c r="AI19" s="1" t="str">
        <f>IFERROR(IF(AND(VALUE(AD19)&gt;=VALUE(AE19),VALUE(AE19)&gt;=VALUE(AF19)),"",1),"")</f>
        <v/>
      </c>
      <c r="AJ19" s="93"/>
      <c r="AK19" s="91"/>
      <c r="AL19" s="278">
        <f t="shared" ref="AL19:AL21" si="14">AK19/3</f>
        <v>0</v>
      </c>
      <c r="AM19" s="285">
        <f>AK19/4</f>
        <v>0</v>
      </c>
      <c r="AN19" s="250"/>
      <c r="AO19" s="1" t="str">
        <f>IFERROR(IF(AND(VALUE(AJ19)&gt;=VALUE(AK19),VALUE(AK19)&gt;=VALUE(AL19)),"",1),"")</f>
        <v/>
      </c>
      <c r="AP19" s="93"/>
      <c r="AQ19" s="91"/>
      <c r="AR19" s="278">
        <f t="shared" ref="AR19:AR21" si="15">AQ19/3</f>
        <v>0</v>
      </c>
      <c r="AS19" s="285">
        <f>AQ19/4</f>
        <v>0</v>
      </c>
      <c r="AT19" s="250"/>
      <c r="AU19" s="1" t="str">
        <f>IFERROR(IF(AND(VALUE(AP19)&gt;=VALUE(AQ19),VALUE(AQ19)&gt;=VALUE(AR19)),"",1),"")</f>
        <v/>
      </c>
      <c r="AV19" s="93"/>
      <c r="AW19" s="91"/>
      <c r="AX19" s="278">
        <f t="shared" ref="AX19:AX21" si="16">AW19/3</f>
        <v>0</v>
      </c>
      <c r="AY19" s="285">
        <f>AW19/4</f>
        <v>0</v>
      </c>
      <c r="AZ19" s="250"/>
      <c r="BA19" s="1" t="str">
        <f>IFERROR(IF(AND(VALUE(AV19)&gt;=VALUE(AW19),VALUE(AW19)&gt;=VALUE(AX19)),"",1),"")</f>
        <v/>
      </c>
      <c r="BB19" s="93"/>
      <c r="BC19" s="91"/>
      <c r="BD19" s="278">
        <f t="shared" ref="BD19:BD21" si="17">BC19/3</f>
        <v>0</v>
      </c>
      <c r="BE19" s="285">
        <f>BC19/4</f>
        <v>0</v>
      </c>
      <c r="BF19" s="250"/>
      <c r="BG19" s="1" t="str">
        <f>IFERROR(IF(AND(VALUE(BB19)&gt;=VALUE(BC19),VALUE(BC19)&gt;=VALUE(BD19)),"",1),"")</f>
        <v/>
      </c>
      <c r="BH19" s="93"/>
      <c r="BI19" s="91"/>
      <c r="BJ19" s="278">
        <f t="shared" ref="BJ19:BJ21" si="18">BI19/3</f>
        <v>0</v>
      </c>
      <c r="BK19" s="285">
        <f>BI19/4</f>
        <v>0</v>
      </c>
      <c r="BL19" s="250"/>
      <c r="BM19" s="1" t="str">
        <f>IFERROR(IF(AND(VALUE(BH19)&gt;=VALUE(BI19),VALUE(BI19)&gt;=VALUE(BJ19)),"",1),"")</f>
        <v/>
      </c>
    </row>
    <row r="20" spans="3:65" ht="29.25" customHeight="1">
      <c r="C20" s="281" t="s">
        <v>344</v>
      </c>
      <c r="D20" s="22" t="s">
        <v>347</v>
      </c>
      <c r="E20" s="74" t="s">
        <v>348</v>
      </c>
      <c r="F20" s="91"/>
      <c r="G20" s="91"/>
      <c r="H20" s="63">
        <f t="shared" ref="H20:H21" si="19">G20/3</f>
        <v>0</v>
      </c>
      <c r="I20" s="63">
        <f t="shared" ref="I20:I21" si="20">G20/4</f>
        <v>0</v>
      </c>
      <c r="J20" s="250"/>
      <c r="K20" s="1" t="str">
        <f>IFERROR(IF(AND(VALUE(F20)&gt;=VALUE(G20),VALUE(G20)&gt;=VALUE(H20)),"",1),"")</f>
        <v/>
      </c>
      <c r="L20" s="93"/>
      <c r="M20" s="91"/>
      <c r="N20" s="63">
        <f t="shared" si="10"/>
        <v>0</v>
      </c>
      <c r="O20" s="64">
        <f t="shared" ref="O20:O21" si="21">M20/4</f>
        <v>0</v>
      </c>
      <c r="P20" s="250"/>
      <c r="Q20" s="1" t="str">
        <f>IFERROR(IF(AND(VALUE(L20)&gt;=VALUE(M20),VALUE(M20)&gt;=VALUE(N20)),"",1),"")</f>
        <v/>
      </c>
      <c r="R20" s="93"/>
      <c r="S20" s="91"/>
      <c r="T20" s="63">
        <f t="shared" si="11"/>
        <v>0</v>
      </c>
      <c r="U20" s="64">
        <f t="shared" ref="U20:U21" si="22">S20/4</f>
        <v>0</v>
      </c>
      <c r="V20" s="250"/>
      <c r="W20" s="1" t="str">
        <f>IFERROR(IF(AND(VALUE(R20)&gt;=VALUE(S20),VALUE(S20)&gt;=VALUE(T20)),"",1),"")</f>
        <v/>
      </c>
      <c r="X20" s="93"/>
      <c r="Y20" s="91"/>
      <c r="Z20" s="63">
        <f t="shared" si="12"/>
        <v>0</v>
      </c>
      <c r="AA20" s="64">
        <f t="shared" ref="AA20:AA21" si="23">Y20/4</f>
        <v>0</v>
      </c>
      <c r="AB20" s="250"/>
      <c r="AC20" s="1" t="str">
        <f>IFERROR(IF(AND(VALUE(X20)&gt;=VALUE(Y20),VALUE(Y20)&gt;=VALUE(Z20)),"",1),"")</f>
        <v/>
      </c>
      <c r="AD20" s="93"/>
      <c r="AE20" s="91"/>
      <c r="AF20" s="63">
        <f t="shared" si="13"/>
        <v>0</v>
      </c>
      <c r="AG20" s="64">
        <f t="shared" ref="AG20:AG21" si="24">AE20/4</f>
        <v>0</v>
      </c>
      <c r="AH20" s="250"/>
      <c r="AI20" s="1" t="str">
        <f>IFERROR(IF(AND(VALUE(AD20)&gt;=VALUE(AE20),VALUE(AE20)&gt;=VALUE(AF20)),"",1),"")</f>
        <v/>
      </c>
      <c r="AJ20" s="93"/>
      <c r="AK20" s="91"/>
      <c r="AL20" s="63">
        <f t="shared" si="14"/>
        <v>0</v>
      </c>
      <c r="AM20" s="64">
        <f t="shared" ref="AM20:AM21" si="25">AK20/4</f>
        <v>0</v>
      </c>
      <c r="AN20" s="250"/>
      <c r="AO20" s="1" t="str">
        <f>IFERROR(IF(AND(VALUE(AJ20)&gt;=VALUE(AK20),VALUE(AK20)&gt;=VALUE(AL20)),"",1),"")</f>
        <v/>
      </c>
      <c r="AP20" s="93"/>
      <c r="AQ20" s="91"/>
      <c r="AR20" s="63">
        <f t="shared" si="15"/>
        <v>0</v>
      </c>
      <c r="AS20" s="64">
        <f t="shared" ref="AS20:AS21" si="26">AQ20/4</f>
        <v>0</v>
      </c>
      <c r="AT20" s="250"/>
      <c r="AU20" s="1" t="str">
        <f>IFERROR(IF(AND(VALUE(AP20)&gt;=VALUE(AQ20),VALUE(AQ20)&gt;=VALUE(AR20)),"",1),"")</f>
        <v/>
      </c>
      <c r="AV20" s="93"/>
      <c r="AW20" s="91"/>
      <c r="AX20" s="63">
        <f t="shared" si="16"/>
        <v>0</v>
      </c>
      <c r="AY20" s="64">
        <f t="shared" ref="AY20:AY21" si="27">AW20/4</f>
        <v>0</v>
      </c>
      <c r="AZ20" s="250"/>
      <c r="BA20" s="1" t="str">
        <f>IFERROR(IF(AND(VALUE(AV20)&gt;=VALUE(AW20),VALUE(AW20)&gt;=VALUE(AX20)),"",1),"")</f>
        <v/>
      </c>
      <c r="BB20" s="93"/>
      <c r="BC20" s="91"/>
      <c r="BD20" s="63">
        <f t="shared" si="17"/>
        <v>0</v>
      </c>
      <c r="BE20" s="64">
        <f t="shared" ref="BE20:BE21" si="28">BC20/4</f>
        <v>0</v>
      </c>
      <c r="BF20" s="250"/>
      <c r="BG20" s="1" t="str">
        <f>IFERROR(IF(AND(VALUE(BB20)&gt;=VALUE(BC20),VALUE(BC20)&gt;=VALUE(BD20)),"",1),"")</f>
        <v/>
      </c>
      <c r="BH20" s="93"/>
      <c r="BI20" s="91"/>
      <c r="BJ20" s="63">
        <f t="shared" si="18"/>
        <v>0</v>
      </c>
      <c r="BK20" s="64">
        <f t="shared" ref="BK20:BK21" si="29">BI20/4</f>
        <v>0</v>
      </c>
      <c r="BL20" s="250"/>
      <c r="BM20" s="1" t="str">
        <f>IFERROR(IF(AND(VALUE(BH20)&gt;=VALUE(BI20),VALUE(BI20)&gt;=VALUE(BJ20)),"",1),"")</f>
        <v/>
      </c>
    </row>
    <row r="21" spans="3:65" ht="29.25" customHeight="1">
      <c r="C21" s="281" t="s">
        <v>344</v>
      </c>
      <c r="D21" s="22" t="s">
        <v>349</v>
      </c>
      <c r="E21" s="74" t="s">
        <v>350</v>
      </c>
      <c r="F21" s="91"/>
      <c r="G21" s="91"/>
      <c r="H21" s="63">
        <f t="shared" si="19"/>
        <v>0</v>
      </c>
      <c r="I21" s="63">
        <f t="shared" si="20"/>
        <v>0</v>
      </c>
      <c r="J21" s="250"/>
      <c r="K21" s="1" t="str">
        <f>IFERROR(IF(AND(VALUE(F21)&gt;=VALUE(G21),VALUE(G21)&gt;=VALUE(H21)),"",1),"")</f>
        <v/>
      </c>
      <c r="L21" s="93"/>
      <c r="M21" s="91"/>
      <c r="N21" s="63">
        <f t="shared" si="10"/>
        <v>0</v>
      </c>
      <c r="O21" s="64">
        <f t="shared" si="21"/>
        <v>0</v>
      </c>
      <c r="P21" s="250"/>
      <c r="Q21" s="1" t="str">
        <f>IFERROR(IF(AND(VALUE(L21)&gt;=VALUE(M21),VALUE(M21)&gt;=VALUE(N21)),"",1),"")</f>
        <v/>
      </c>
      <c r="R21" s="93"/>
      <c r="S21" s="91"/>
      <c r="T21" s="63">
        <f t="shared" si="11"/>
        <v>0</v>
      </c>
      <c r="U21" s="64">
        <f t="shared" si="22"/>
        <v>0</v>
      </c>
      <c r="V21" s="250"/>
      <c r="W21" s="1" t="str">
        <f>IFERROR(IF(AND(VALUE(R21)&gt;=VALUE(S21),VALUE(S21)&gt;=VALUE(T21)),"",1),"")</f>
        <v/>
      </c>
      <c r="X21" s="93"/>
      <c r="Y21" s="91"/>
      <c r="Z21" s="63">
        <f t="shared" si="12"/>
        <v>0</v>
      </c>
      <c r="AA21" s="64">
        <f t="shared" si="23"/>
        <v>0</v>
      </c>
      <c r="AB21" s="250"/>
      <c r="AC21" s="1" t="str">
        <f>IFERROR(IF(AND(VALUE(X21)&gt;=VALUE(Y21),VALUE(Y21)&gt;=VALUE(Z21)),"",1),"")</f>
        <v/>
      </c>
      <c r="AD21" s="93"/>
      <c r="AE21" s="91"/>
      <c r="AF21" s="63">
        <f t="shared" si="13"/>
        <v>0</v>
      </c>
      <c r="AG21" s="64">
        <f t="shared" si="24"/>
        <v>0</v>
      </c>
      <c r="AH21" s="250"/>
      <c r="AI21" s="1" t="str">
        <f>IFERROR(IF(AND(VALUE(AD21)&gt;=VALUE(AE21),VALUE(AE21)&gt;=VALUE(AF21)),"",1),"")</f>
        <v/>
      </c>
      <c r="AJ21" s="93"/>
      <c r="AK21" s="91"/>
      <c r="AL21" s="63">
        <f t="shared" si="14"/>
        <v>0</v>
      </c>
      <c r="AM21" s="64">
        <f t="shared" si="25"/>
        <v>0</v>
      </c>
      <c r="AN21" s="250"/>
      <c r="AO21" s="1" t="str">
        <f>IFERROR(IF(AND(VALUE(AJ21)&gt;=VALUE(AK21),VALUE(AK21)&gt;=VALUE(AL21)),"",1),"")</f>
        <v/>
      </c>
      <c r="AP21" s="93"/>
      <c r="AQ21" s="91"/>
      <c r="AR21" s="63">
        <f t="shared" si="15"/>
        <v>0</v>
      </c>
      <c r="AS21" s="64">
        <f t="shared" si="26"/>
        <v>0</v>
      </c>
      <c r="AT21" s="250"/>
      <c r="AU21" s="1" t="str">
        <f>IFERROR(IF(AND(VALUE(AP21)&gt;=VALUE(AQ21),VALUE(AQ21)&gt;=VALUE(AR21)),"",1),"")</f>
        <v/>
      </c>
      <c r="AV21" s="93"/>
      <c r="AW21" s="91"/>
      <c r="AX21" s="63">
        <f t="shared" si="16"/>
        <v>0</v>
      </c>
      <c r="AY21" s="64">
        <f t="shared" si="27"/>
        <v>0</v>
      </c>
      <c r="AZ21" s="250"/>
      <c r="BA21" s="1" t="str">
        <f>IFERROR(IF(AND(VALUE(AV21)&gt;=VALUE(AW21),VALUE(AW21)&gt;=VALUE(AX21)),"",1),"")</f>
        <v/>
      </c>
      <c r="BB21" s="93"/>
      <c r="BC21" s="91"/>
      <c r="BD21" s="63">
        <f t="shared" si="17"/>
        <v>0</v>
      </c>
      <c r="BE21" s="64">
        <f t="shared" si="28"/>
        <v>0</v>
      </c>
      <c r="BF21" s="250"/>
      <c r="BG21" s="1" t="str">
        <f>IFERROR(IF(AND(VALUE(BB21)&gt;=VALUE(BC21),VALUE(BC21)&gt;=VALUE(BD21)),"",1),"")</f>
        <v/>
      </c>
      <c r="BH21" s="93"/>
      <c r="BI21" s="91"/>
      <c r="BJ21" s="63">
        <f t="shared" si="18"/>
        <v>0</v>
      </c>
      <c r="BK21" s="64">
        <f t="shared" si="29"/>
        <v>0</v>
      </c>
      <c r="BL21" s="250"/>
      <c r="BM21" s="1" t="str">
        <f>IFERROR(IF(AND(VALUE(BH21)&gt;=VALUE(BI21),VALUE(BI21)&gt;=VALUE(BJ21)),"",1),"")</f>
        <v/>
      </c>
    </row>
    <row r="22" spans="3:65" ht="29.25" customHeight="1">
      <c r="C22" s="282" t="s">
        <v>344</v>
      </c>
      <c r="D22" s="78" t="s">
        <v>351</v>
      </c>
      <c r="E22" s="79" t="s">
        <v>352</v>
      </c>
      <c r="F22" s="13">
        <f>SUM(F19:F21)</f>
        <v>0</v>
      </c>
      <c r="G22" s="13">
        <f>SUM(G19:G21)</f>
        <v>0</v>
      </c>
      <c r="H22" s="63">
        <f>SUM(H19:H21)</f>
        <v>0</v>
      </c>
      <c r="I22" s="63">
        <f>SUM(I19:I21)</f>
        <v>0</v>
      </c>
      <c r="J22" s="252"/>
      <c r="L22" s="80">
        <f>SUM(L19:L21)</f>
        <v>0</v>
      </c>
      <c r="M22" s="13">
        <f>SUM(M19:M21)</f>
        <v>0</v>
      </c>
      <c r="N22" s="63">
        <f>SUM(N19:N21)</f>
        <v>0</v>
      </c>
      <c r="O22" s="63">
        <f>SUM(O19:O21)</f>
        <v>0</v>
      </c>
      <c r="P22" s="252"/>
      <c r="R22" s="80">
        <f>SUM(R19:R21)</f>
        <v>0</v>
      </c>
      <c r="S22" s="13">
        <f>SUM(S19:S21)</f>
        <v>0</v>
      </c>
      <c r="T22" s="63">
        <f>SUM(T19:T21)</f>
        <v>0</v>
      </c>
      <c r="U22" s="63">
        <f>SUM(U19:U21)</f>
        <v>0</v>
      </c>
      <c r="V22" s="252"/>
      <c r="X22" s="80">
        <f>SUM(X19:X21)</f>
        <v>0</v>
      </c>
      <c r="Y22" s="13">
        <f>SUM(Y19:Y21)</f>
        <v>0</v>
      </c>
      <c r="Z22" s="63">
        <f>SUM(Z19:Z21)</f>
        <v>0</v>
      </c>
      <c r="AA22" s="63">
        <f>SUM(AA19:AA21)</f>
        <v>0</v>
      </c>
      <c r="AB22" s="252"/>
      <c r="AD22" s="80">
        <f>SUM(AD19:AD21)</f>
        <v>0</v>
      </c>
      <c r="AE22" s="13">
        <f>SUM(AE19:AE21)</f>
        <v>0</v>
      </c>
      <c r="AF22" s="63">
        <f>SUM(AF19:AF21)</f>
        <v>0</v>
      </c>
      <c r="AG22" s="63">
        <f>SUM(AG19:AG21)</f>
        <v>0</v>
      </c>
      <c r="AH22" s="252"/>
      <c r="AJ22" s="80">
        <f>SUM(AJ19:AJ21)</f>
        <v>0</v>
      </c>
      <c r="AK22" s="13">
        <f>SUM(AK19:AK21)</f>
        <v>0</v>
      </c>
      <c r="AL22" s="63">
        <f>SUM(AL19:AL21)</f>
        <v>0</v>
      </c>
      <c r="AM22" s="63">
        <f>SUM(AM19:AM21)</f>
        <v>0</v>
      </c>
      <c r="AN22" s="252"/>
      <c r="AP22" s="80">
        <f>SUM(AP19:AP21)</f>
        <v>0</v>
      </c>
      <c r="AQ22" s="13">
        <f>SUM(AQ19:AQ21)</f>
        <v>0</v>
      </c>
      <c r="AR22" s="63">
        <f>SUM(AR19:AR21)</f>
        <v>0</v>
      </c>
      <c r="AS22" s="63">
        <f>SUM(AS19:AS21)</f>
        <v>0</v>
      </c>
      <c r="AT22" s="252"/>
      <c r="AV22" s="80">
        <f>SUM(AV19:AV21)</f>
        <v>0</v>
      </c>
      <c r="AW22" s="13">
        <f>SUM(AW19:AW21)</f>
        <v>0</v>
      </c>
      <c r="AX22" s="63">
        <f>SUM(AX19:AX21)</f>
        <v>0</v>
      </c>
      <c r="AY22" s="63">
        <f>SUM(AY19:AY21)</f>
        <v>0</v>
      </c>
      <c r="AZ22" s="252"/>
      <c r="BB22" s="80">
        <f>SUM(BB19:BB21)</f>
        <v>0</v>
      </c>
      <c r="BC22" s="13">
        <f>SUM(BC19:BC21)</f>
        <v>0</v>
      </c>
      <c r="BD22" s="63">
        <f>SUM(BD19:BD21)</f>
        <v>0</v>
      </c>
      <c r="BE22" s="63">
        <f>SUM(BE19:BE21)</f>
        <v>0</v>
      </c>
      <c r="BF22" s="252"/>
      <c r="BH22" s="80">
        <f>SUM(BH19:BH21)</f>
        <v>0</v>
      </c>
      <c r="BI22" s="13">
        <f>SUM(BI19:BI21)</f>
        <v>0</v>
      </c>
      <c r="BJ22" s="63">
        <f>SUM(BJ19:BJ21)</f>
        <v>0</v>
      </c>
      <c r="BK22" s="63">
        <f>SUM(BK19:BK21)</f>
        <v>0</v>
      </c>
      <c r="BL22" s="252"/>
    </row>
    <row r="23" spans="3:65" ht="29.25" customHeight="1">
      <c r="C23" s="280" t="s">
        <v>353</v>
      </c>
      <c r="D23" s="22" t="s">
        <v>345</v>
      </c>
      <c r="E23" s="74" t="s">
        <v>346</v>
      </c>
      <c r="F23" s="91"/>
      <c r="G23" s="91"/>
      <c r="H23" s="278">
        <f t="shared" ref="H23:H25" si="30">G23/3</f>
        <v>0</v>
      </c>
      <c r="I23" s="278">
        <f t="shared" ref="I23:I25" si="31">G23/4</f>
        <v>0</v>
      </c>
      <c r="J23" s="250"/>
      <c r="K23" s="1" t="str">
        <f>IFERROR(IF(AND(VALUE(F23)&gt;=VALUE(G23),VALUE(G23)&gt;=VALUE(H23)),"",1),"")</f>
        <v/>
      </c>
      <c r="L23" s="93"/>
      <c r="M23" s="91"/>
      <c r="N23" s="278">
        <f t="shared" ref="N23:N25" si="32">M23/3</f>
        <v>0</v>
      </c>
      <c r="O23" s="285">
        <f t="shared" ref="O23:O25" si="33">M23/4</f>
        <v>0</v>
      </c>
      <c r="P23" s="250"/>
      <c r="Q23" s="1" t="str">
        <f>IFERROR(IF(AND(VALUE(L23)&gt;=VALUE(M23),VALUE(M23)&gt;=VALUE(N23)),"",1),"")</f>
        <v/>
      </c>
      <c r="R23" s="93"/>
      <c r="S23" s="91"/>
      <c r="T23" s="278">
        <f t="shared" ref="T23:T25" si="34">S23/3</f>
        <v>0</v>
      </c>
      <c r="U23" s="278">
        <f t="shared" ref="U23:U25" si="35">S23/4</f>
        <v>0</v>
      </c>
      <c r="V23" s="250"/>
      <c r="W23" s="1" t="str">
        <f>IFERROR(IF(AND(VALUE(R23)&gt;=VALUE(S23),VALUE(S23)&gt;=VALUE(T23)),"",1),"")</f>
        <v/>
      </c>
      <c r="X23" s="93"/>
      <c r="Y23" s="91"/>
      <c r="Z23" s="278">
        <f t="shared" ref="Z23:Z25" si="36">Y23/3</f>
        <v>0</v>
      </c>
      <c r="AA23" s="278">
        <f t="shared" ref="AA23:AA25" si="37">Y23/4</f>
        <v>0</v>
      </c>
      <c r="AB23" s="250"/>
      <c r="AC23" s="1" t="str">
        <f>IFERROR(IF(AND(VALUE(X23)&gt;=VALUE(Y23),VALUE(Y23)&gt;=VALUE(Z23)),"",1),"")</f>
        <v/>
      </c>
      <c r="AD23" s="93"/>
      <c r="AE23" s="91"/>
      <c r="AF23" s="278">
        <f t="shared" ref="AF23:AF25" si="38">AE23/3</f>
        <v>0</v>
      </c>
      <c r="AG23" s="278">
        <f t="shared" ref="AG23:AG25" si="39">AE23/4</f>
        <v>0</v>
      </c>
      <c r="AH23" s="250"/>
      <c r="AI23" s="1" t="str">
        <f>IFERROR(IF(AND(VALUE(AD23)&gt;=VALUE(AE23),VALUE(AE23)&gt;=VALUE(AF23)),"",1),"")</f>
        <v/>
      </c>
      <c r="AJ23" s="93"/>
      <c r="AK23" s="91"/>
      <c r="AL23" s="278">
        <f t="shared" ref="AL23:AL25" si="40">AK23/3</f>
        <v>0</v>
      </c>
      <c r="AM23" s="278">
        <f t="shared" ref="AM23:AM25" si="41">AK23/4</f>
        <v>0</v>
      </c>
      <c r="AN23" s="250"/>
      <c r="AO23" s="1" t="str">
        <f>IFERROR(IF(AND(VALUE(AJ23)&gt;=VALUE(AK23),VALUE(AK23)&gt;=VALUE(AL23)),"",1),"")</f>
        <v/>
      </c>
      <c r="AP23" s="93"/>
      <c r="AQ23" s="91"/>
      <c r="AR23" s="278">
        <f t="shared" ref="AR23:AR25" si="42">AQ23/3</f>
        <v>0</v>
      </c>
      <c r="AS23" s="278">
        <f t="shared" ref="AS23:AS25" si="43">AQ23/4</f>
        <v>0</v>
      </c>
      <c r="AT23" s="250"/>
      <c r="AU23" s="1" t="str">
        <f>IFERROR(IF(AND(VALUE(AP23)&gt;=VALUE(AQ23),VALUE(AQ23)&gt;=VALUE(AR23)),"",1),"")</f>
        <v/>
      </c>
      <c r="AV23" s="93"/>
      <c r="AW23" s="91"/>
      <c r="AX23" s="278">
        <f t="shared" ref="AX23:AX25" si="44">AW23/3</f>
        <v>0</v>
      </c>
      <c r="AY23" s="278">
        <f t="shared" ref="AY23:AY25" si="45">AW23/4</f>
        <v>0</v>
      </c>
      <c r="AZ23" s="250"/>
      <c r="BA23" s="1" t="str">
        <f>IFERROR(IF(AND(VALUE(AV23)&gt;=VALUE(AW23),VALUE(AW23)&gt;=VALUE(AX23)),"",1),"")</f>
        <v/>
      </c>
      <c r="BB23" s="93"/>
      <c r="BC23" s="91"/>
      <c r="BD23" s="278">
        <f t="shared" ref="BD23:BD25" si="46">BC23/3</f>
        <v>0</v>
      </c>
      <c r="BE23" s="278">
        <f t="shared" ref="BE23:BE25" si="47">BC23/4</f>
        <v>0</v>
      </c>
      <c r="BF23" s="250"/>
      <c r="BG23" s="1" t="str">
        <f>IFERROR(IF(AND(VALUE(BB23)&gt;=VALUE(BC23),VALUE(BC23)&gt;=VALUE(BD23)),"",1),"")</f>
        <v/>
      </c>
      <c r="BH23" s="93"/>
      <c r="BI23" s="91"/>
      <c r="BJ23" s="278">
        <f t="shared" ref="BJ23:BJ24" si="48">BI23/3</f>
        <v>0</v>
      </c>
      <c r="BK23" s="278">
        <f t="shared" ref="BK23:BK25" si="49">BI23/4</f>
        <v>0</v>
      </c>
      <c r="BL23" s="250"/>
      <c r="BM23" s="1" t="str">
        <f>IFERROR(IF(AND(VALUE(BH23)&gt;=VALUE(BI23),VALUE(BI23)&gt;=VALUE(BJ23)),"",1),"")</f>
        <v/>
      </c>
    </row>
    <row r="24" spans="3:65" ht="29.25" customHeight="1">
      <c r="C24" s="281" t="s">
        <v>353</v>
      </c>
      <c r="D24" s="22" t="s">
        <v>347</v>
      </c>
      <c r="E24" s="74" t="s">
        <v>348</v>
      </c>
      <c r="F24" s="91"/>
      <c r="G24" s="91"/>
      <c r="H24" s="63">
        <f t="shared" si="30"/>
        <v>0</v>
      </c>
      <c r="I24" s="63">
        <f t="shared" si="31"/>
        <v>0</v>
      </c>
      <c r="J24" s="250"/>
      <c r="K24" s="1" t="str">
        <f>IFERROR(IF(AND(VALUE(F24)&gt;=VALUE(G24),VALUE(G24)&gt;=VALUE(H24)),"",1),"")</f>
        <v/>
      </c>
      <c r="L24" s="93"/>
      <c r="M24" s="91"/>
      <c r="N24" s="63">
        <f t="shared" si="32"/>
        <v>0</v>
      </c>
      <c r="O24" s="64">
        <f t="shared" si="33"/>
        <v>0</v>
      </c>
      <c r="P24" s="250"/>
      <c r="Q24" s="1" t="str">
        <f>IFERROR(IF(AND(VALUE(L24)&gt;=VALUE(M24),VALUE(M24)&gt;=VALUE(N24)),"",1),"")</f>
        <v/>
      </c>
      <c r="R24" s="93"/>
      <c r="S24" s="91"/>
      <c r="T24" s="63">
        <f t="shared" si="34"/>
        <v>0</v>
      </c>
      <c r="U24" s="63">
        <f t="shared" si="35"/>
        <v>0</v>
      </c>
      <c r="V24" s="250"/>
      <c r="W24" s="1" t="str">
        <f>IFERROR(IF(AND(VALUE(R24)&gt;=VALUE(S24),VALUE(S24)&gt;=VALUE(T24)),"",1),"")</f>
        <v/>
      </c>
      <c r="X24" s="93"/>
      <c r="Y24" s="91"/>
      <c r="Z24" s="63">
        <f t="shared" si="36"/>
        <v>0</v>
      </c>
      <c r="AA24" s="63">
        <f t="shared" si="37"/>
        <v>0</v>
      </c>
      <c r="AB24" s="250"/>
      <c r="AC24" s="1" t="str">
        <f>IFERROR(IF(AND(VALUE(X24)&gt;=VALUE(Y24),VALUE(Y24)&gt;=VALUE(Z24)),"",1),"")</f>
        <v/>
      </c>
      <c r="AD24" s="93"/>
      <c r="AE24" s="91"/>
      <c r="AF24" s="63">
        <f t="shared" si="38"/>
        <v>0</v>
      </c>
      <c r="AG24" s="63">
        <f t="shared" si="39"/>
        <v>0</v>
      </c>
      <c r="AH24" s="250"/>
      <c r="AI24" s="1" t="str">
        <f>IFERROR(IF(AND(VALUE(AD24)&gt;=VALUE(AE24),VALUE(AE24)&gt;=VALUE(AF24)),"",1),"")</f>
        <v/>
      </c>
      <c r="AJ24" s="93"/>
      <c r="AK24" s="91"/>
      <c r="AL24" s="63">
        <f t="shared" si="40"/>
        <v>0</v>
      </c>
      <c r="AM24" s="63">
        <f t="shared" si="41"/>
        <v>0</v>
      </c>
      <c r="AN24" s="250"/>
      <c r="AO24" s="1" t="str">
        <f>IFERROR(IF(AND(VALUE(AJ24)&gt;=VALUE(AK24),VALUE(AK24)&gt;=VALUE(AL24)),"",1),"")</f>
        <v/>
      </c>
      <c r="AP24" s="93"/>
      <c r="AQ24" s="91"/>
      <c r="AR24" s="63">
        <f t="shared" si="42"/>
        <v>0</v>
      </c>
      <c r="AS24" s="63">
        <f t="shared" si="43"/>
        <v>0</v>
      </c>
      <c r="AT24" s="250"/>
      <c r="AU24" s="1" t="str">
        <f>IFERROR(IF(AND(VALUE(AP24)&gt;=VALUE(AQ24),VALUE(AQ24)&gt;=VALUE(AR24)),"",1),"")</f>
        <v/>
      </c>
      <c r="AV24" s="93"/>
      <c r="AW24" s="91"/>
      <c r="AX24" s="63">
        <f t="shared" si="44"/>
        <v>0</v>
      </c>
      <c r="AY24" s="63">
        <f t="shared" si="45"/>
        <v>0</v>
      </c>
      <c r="AZ24" s="250"/>
      <c r="BA24" s="1" t="str">
        <f>IFERROR(IF(AND(VALUE(AV24)&gt;=VALUE(AW24),VALUE(AW24)&gt;=VALUE(AX24)),"",1),"")</f>
        <v/>
      </c>
      <c r="BB24" s="93"/>
      <c r="BC24" s="91"/>
      <c r="BD24" s="63">
        <f t="shared" si="46"/>
        <v>0</v>
      </c>
      <c r="BE24" s="63">
        <f t="shared" si="47"/>
        <v>0</v>
      </c>
      <c r="BF24" s="250"/>
      <c r="BG24" s="1" t="str">
        <f>IFERROR(IF(AND(VALUE(BB24)&gt;=VALUE(BC24),VALUE(BC24)&gt;=VALUE(BD24)),"",1),"")</f>
        <v/>
      </c>
      <c r="BH24" s="93"/>
      <c r="BI24" s="91"/>
      <c r="BJ24" s="63">
        <f t="shared" si="48"/>
        <v>0</v>
      </c>
      <c r="BK24" s="63">
        <f t="shared" si="49"/>
        <v>0</v>
      </c>
      <c r="BL24" s="250"/>
      <c r="BM24" s="1" t="str">
        <f>IFERROR(IF(AND(VALUE(BH24)&gt;=VALUE(BI24),VALUE(BI24)&gt;=VALUE(BJ24)),"",1),"")</f>
        <v/>
      </c>
    </row>
    <row r="25" spans="3:65" ht="29.25" customHeight="1">
      <c r="C25" s="281" t="s">
        <v>353</v>
      </c>
      <c r="D25" s="22" t="s">
        <v>349</v>
      </c>
      <c r="E25" s="74" t="s">
        <v>350</v>
      </c>
      <c r="F25" s="91"/>
      <c r="G25" s="91"/>
      <c r="H25" s="63">
        <f t="shared" si="30"/>
        <v>0</v>
      </c>
      <c r="I25" s="63">
        <f t="shared" si="31"/>
        <v>0</v>
      </c>
      <c r="J25" s="250"/>
      <c r="K25" s="1" t="str">
        <f>IFERROR(IF(AND(VALUE(F25)&gt;=VALUE(G25),VALUE(G25)&gt;=VALUE(H25)),"",1),"")</f>
        <v/>
      </c>
      <c r="L25" s="93"/>
      <c r="M25" s="91"/>
      <c r="N25" s="63">
        <f t="shared" si="32"/>
        <v>0</v>
      </c>
      <c r="O25" s="64">
        <f t="shared" si="33"/>
        <v>0</v>
      </c>
      <c r="P25" s="250"/>
      <c r="Q25" s="1" t="str">
        <f>IFERROR(IF(AND(VALUE(L25)&gt;=VALUE(M25),VALUE(M25)&gt;=VALUE(N25)),"",1),"")</f>
        <v/>
      </c>
      <c r="R25" s="93"/>
      <c r="S25" s="91"/>
      <c r="T25" s="63">
        <f t="shared" si="34"/>
        <v>0</v>
      </c>
      <c r="U25" s="63">
        <f t="shared" si="35"/>
        <v>0</v>
      </c>
      <c r="V25" s="250"/>
      <c r="W25" s="1" t="str">
        <f>IFERROR(IF(AND(VALUE(R25)&gt;=VALUE(S25),VALUE(S25)&gt;=VALUE(T25)),"",1),"")</f>
        <v/>
      </c>
      <c r="X25" s="93"/>
      <c r="Y25" s="91"/>
      <c r="Z25" s="63">
        <f t="shared" si="36"/>
        <v>0</v>
      </c>
      <c r="AA25" s="63">
        <f t="shared" si="37"/>
        <v>0</v>
      </c>
      <c r="AB25" s="250"/>
      <c r="AC25" s="1" t="str">
        <f>IFERROR(IF(AND(VALUE(X25)&gt;=VALUE(Y25),VALUE(Y25)&gt;=VALUE(Z25)),"",1),"")</f>
        <v/>
      </c>
      <c r="AD25" s="93"/>
      <c r="AE25" s="91"/>
      <c r="AF25" s="63">
        <f t="shared" si="38"/>
        <v>0</v>
      </c>
      <c r="AG25" s="63">
        <f t="shared" si="39"/>
        <v>0</v>
      </c>
      <c r="AH25" s="250"/>
      <c r="AI25" s="1" t="str">
        <f>IFERROR(IF(AND(VALUE(AD25)&gt;=VALUE(AE25),VALUE(AE25)&gt;=VALUE(AF25)),"",1),"")</f>
        <v/>
      </c>
      <c r="AJ25" s="93"/>
      <c r="AK25" s="91"/>
      <c r="AL25" s="63">
        <f t="shared" si="40"/>
        <v>0</v>
      </c>
      <c r="AM25" s="63">
        <f t="shared" si="41"/>
        <v>0</v>
      </c>
      <c r="AN25" s="250"/>
      <c r="AO25" s="1" t="str">
        <f>IFERROR(IF(AND(VALUE(AJ25)&gt;=VALUE(AK25),VALUE(AK25)&gt;=VALUE(AL25)),"",1),"")</f>
        <v/>
      </c>
      <c r="AP25" s="93"/>
      <c r="AQ25" s="91"/>
      <c r="AR25" s="63">
        <f t="shared" si="42"/>
        <v>0</v>
      </c>
      <c r="AS25" s="63">
        <f t="shared" si="43"/>
        <v>0</v>
      </c>
      <c r="AT25" s="250"/>
      <c r="AU25" s="1" t="str">
        <f>IFERROR(IF(AND(VALUE(AP25)&gt;=VALUE(AQ25),VALUE(AQ25)&gt;=VALUE(AR25)),"",1),"")</f>
        <v/>
      </c>
      <c r="AV25" s="93"/>
      <c r="AW25" s="91"/>
      <c r="AX25" s="63">
        <f t="shared" si="44"/>
        <v>0</v>
      </c>
      <c r="AY25" s="63">
        <f t="shared" si="45"/>
        <v>0</v>
      </c>
      <c r="AZ25" s="250"/>
      <c r="BA25" s="1" t="str">
        <f>IFERROR(IF(AND(VALUE(AV25)&gt;=VALUE(AW25),VALUE(AW25)&gt;=VALUE(AX25)),"",1),"")</f>
        <v/>
      </c>
      <c r="BB25" s="93"/>
      <c r="BC25" s="91"/>
      <c r="BD25" s="63">
        <f t="shared" si="46"/>
        <v>0</v>
      </c>
      <c r="BE25" s="63">
        <f t="shared" si="47"/>
        <v>0</v>
      </c>
      <c r="BF25" s="250"/>
      <c r="BG25" s="1" t="str">
        <f>IFERROR(IF(AND(VALUE(BB25)&gt;=VALUE(BC25),VALUE(BC25)&gt;=VALUE(BD25)),"",1),"")</f>
        <v/>
      </c>
      <c r="BH25" s="93"/>
      <c r="BI25" s="91"/>
      <c r="BJ25" s="63">
        <f>BI25/3</f>
        <v>0</v>
      </c>
      <c r="BK25" s="63">
        <f t="shared" si="49"/>
        <v>0</v>
      </c>
      <c r="BL25" s="250"/>
      <c r="BM25" s="1" t="str">
        <f>IFERROR(IF(AND(VALUE(BH25)&gt;=VALUE(BI25),VALUE(BI25)&gt;=VALUE(BJ25)),"",1),"")</f>
        <v/>
      </c>
    </row>
    <row r="26" spans="3:65" ht="29.25" customHeight="1">
      <c r="C26" s="282" t="s">
        <v>353</v>
      </c>
      <c r="D26" s="78" t="s">
        <v>351</v>
      </c>
      <c r="E26" s="79" t="s">
        <v>352</v>
      </c>
      <c r="F26" s="13">
        <f t="shared" ref="F26:I26" si="50">SUM(F23:F25)</f>
        <v>0</v>
      </c>
      <c r="G26" s="13">
        <f t="shared" si="50"/>
        <v>0</v>
      </c>
      <c r="H26" s="63">
        <f t="shared" si="50"/>
        <v>0</v>
      </c>
      <c r="I26" s="63">
        <f t="shared" si="50"/>
        <v>0</v>
      </c>
      <c r="J26" s="252"/>
      <c r="L26" s="80">
        <f>SUM(L23:L25)</f>
        <v>0</v>
      </c>
      <c r="M26" s="13">
        <f>SUM(M23:M25)</f>
        <v>0</v>
      </c>
      <c r="N26" s="63">
        <f t="shared" ref="N26:O26" si="51">SUM(N23:N25)</f>
        <v>0</v>
      </c>
      <c r="O26" s="63">
        <f t="shared" si="51"/>
        <v>0</v>
      </c>
      <c r="P26" s="252"/>
      <c r="R26" s="80">
        <f>SUM(R23:R25)</f>
        <v>0</v>
      </c>
      <c r="S26" s="13">
        <f>SUM(S23:S25)</f>
        <v>0</v>
      </c>
      <c r="T26" s="63">
        <f t="shared" ref="T26:U26" si="52">SUM(T23:T25)</f>
        <v>0</v>
      </c>
      <c r="U26" s="63">
        <f t="shared" si="52"/>
        <v>0</v>
      </c>
      <c r="V26" s="252"/>
      <c r="X26" s="80">
        <f>SUM(X23:X25)</f>
        <v>0</v>
      </c>
      <c r="Y26" s="13">
        <f>SUM(Y23:Y25)</f>
        <v>0</v>
      </c>
      <c r="Z26" s="63">
        <f t="shared" ref="Z26:AA26" si="53">SUM(Z23:Z25)</f>
        <v>0</v>
      </c>
      <c r="AA26" s="63">
        <f t="shared" si="53"/>
        <v>0</v>
      </c>
      <c r="AB26" s="252"/>
      <c r="AD26" s="80">
        <f>SUM(AD23:AD25)</f>
        <v>0</v>
      </c>
      <c r="AE26" s="13">
        <f>SUM(AE23:AE25)</f>
        <v>0</v>
      </c>
      <c r="AF26" s="63">
        <f t="shared" ref="AF26:AG26" si="54">SUM(AF23:AF25)</f>
        <v>0</v>
      </c>
      <c r="AG26" s="63">
        <f t="shared" si="54"/>
        <v>0</v>
      </c>
      <c r="AH26" s="252"/>
      <c r="AJ26" s="80">
        <f>SUM(AJ23:AJ25)</f>
        <v>0</v>
      </c>
      <c r="AK26" s="13">
        <f>SUM(AK23:AK25)</f>
        <v>0</v>
      </c>
      <c r="AL26" s="63">
        <f t="shared" ref="AL26:AM26" si="55">SUM(AL23:AL25)</f>
        <v>0</v>
      </c>
      <c r="AM26" s="63">
        <f t="shared" si="55"/>
        <v>0</v>
      </c>
      <c r="AN26" s="252"/>
      <c r="AP26" s="80">
        <f>SUM(AP23:AP25)</f>
        <v>0</v>
      </c>
      <c r="AQ26" s="13">
        <f>SUM(AQ23:AQ25)</f>
        <v>0</v>
      </c>
      <c r="AR26" s="63">
        <f t="shared" ref="AR26:AS26" si="56">SUM(AR23:AR25)</f>
        <v>0</v>
      </c>
      <c r="AS26" s="63">
        <f t="shared" si="56"/>
        <v>0</v>
      </c>
      <c r="AT26" s="252"/>
      <c r="AV26" s="80">
        <f>SUM(AV23:AV25)</f>
        <v>0</v>
      </c>
      <c r="AW26" s="13">
        <f>SUM(AW23:AW25)</f>
        <v>0</v>
      </c>
      <c r="AX26" s="63">
        <f t="shared" ref="AX26:AY26" si="57">SUM(AX23:AX25)</f>
        <v>0</v>
      </c>
      <c r="AY26" s="63">
        <f t="shared" si="57"/>
        <v>0</v>
      </c>
      <c r="AZ26" s="252"/>
      <c r="BB26" s="80">
        <f>SUM(BB23:BB25)</f>
        <v>0</v>
      </c>
      <c r="BC26" s="13">
        <f>SUM(BC23:BC25)</f>
        <v>0</v>
      </c>
      <c r="BD26" s="63">
        <f t="shared" ref="BD26:BE26" si="58">SUM(BD23:BD25)</f>
        <v>0</v>
      </c>
      <c r="BE26" s="63">
        <f t="shared" si="58"/>
        <v>0</v>
      </c>
      <c r="BF26" s="252"/>
      <c r="BH26" s="80">
        <f>SUM(BH23:BH25)</f>
        <v>0</v>
      </c>
      <c r="BI26" s="13">
        <f>SUM(BI23:BI25)</f>
        <v>0</v>
      </c>
      <c r="BJ26" s="63">
        <f t="shared" ref="BJ26:BK26" si="59">SUM(BJ23:BJ25)</f>
        <v>0</v>
      </c>
      <c r="BK26" s="63">
        <f t="shared" si="59"/>
        <v>0</v>
      </c>
      <c r="BL26" s="252"/>
    </row>
    <row r="27" spans="3:65" ht="29.25" customHeight="1">
      <c r="C27" s="280" t="s">
        <v>354</v>
      </c>
      <c r="D27" s="22" t="s">
        <v>345</v>
      </c>
      <c r="E27" s="74" t="s">
        <v>346</v>
      </c>
      <c r="F27" s="91"/>
      <c r="G27" s="91"/>
      <c r="H27" s="278">
        <f t="shared" ref="H27:H29" si="60">G27/3</f>
        <v>0</v>
      </c>
      <c r="I27" s="278">
        <f t="shared" ref="I27:I29" si="61">G27/4</f>
        <v>0</v>
      </c>
      <c r="J27" s="250"/>
      <c r="K27" s="1" t="str">
        <f>IFERROR(IF(AND(VALUE(F27)&gt;=VALUE(G27),VALUE(G27)&gt;=VALUE(H27)),"",1),"")</f>
        <v/>
      </c>
      <c r="L27" s="93"/>
      <c r="M27" s="91"/>
      <c r="N27" s="278">
        <f t="shared" ref="N27:N29" si="62">M27/3</f>
        <v>0</v>
      </c>
      <c r="O27" s="285">
        <f t="shared" ref="O27:O29" si="63">M27/4</f>
        <v>0</v>
      </c>
      <c r="P27" s="250"/>
      <c r="Q27" s="1" t="str">
        <f>IFERROR(IF(AND(VALUE(L27)&gt;=VALUE(M27),VALUE(M27)&gt;=VALUE(N27)),"",1),"")</f>
        <v/>
      </c>
      <c r="R27" s="93"/>
      <c r="S27" s="91"/>
      <c r="T27" s="278">
        <f t="shared" ref="T27:T29" si="64">S27/3</f>
        <v>0</v>
      </c>
      <c r="U27" s="278">
        <f t="shared" ref="U27:U29" si="65">S27/4</f>
        <v>0</v>
      </c>
      <c r="V27" s="250"/>
      <c r="W27" s="1" t="str">
        <f>IFERROR(IF(AND(VALUE(R27)&gt;=VALUE(S27),VALUE(S27)&gt;=VALUE(T27)),"",1),"")</f>
        <v/>
      </c>
      <c r="X27" s="93"/>
      <c r="Y27" s="91"/>
      <c r="Z27" s="278">
        <f t="shared" ref="Z27:Z29" si="66">Y27/3</f>
        <v>0</v>
      </c>
      <c r="AA27" s="278">
        <f t="shared" ref="AA27:AA29" si="67">Y27/4</f>
        <v>0</v>
      </c>
      <c r="AB27" s="250"/>
      <c r="AC27" s="1" t="str">
        <f>IFERROR(IF(AND(VALUE(X27)&gt;=VALUE(Y27),VALUE(Y27)&gt;=VALUE(Z27)),"",1),"")</f>
        <v/>
      </c>
      <c r="AD27" s="93"/>
      <c r="AE27" s="91"/>
      <c r="AF27" s="278">
        <f t="shared" ref="AF27:AF29" si="68">AE27/3</f>
        <v>0</v>
      </c>
      <c r="AG27" s="278">
        <f t="shared" ref="AG27:AG29" si="69">AE27/4</f>
        <v>0</v>
      </c>
      <c r="AH27" s="250"/>
      <c r="AI27" s="1" t="str">
        <f>IFERROR(IF(AND(VALUE(AD27)&gt;=VALUE(AE27),VALUE(AE27)&gt;=VALUE(AF27)),"",1),"")</f>
        <v/>
      </c>
      <c r="AJ27" s="93"/>
      <c r="AK27" s="91"/>
      <c r="AL27" s="278">
        <f t="shared" ref="AL27:AL29" si="70">AK27/3</f>
        <v>0</v>
      </c>
      <c r="AM27" s="278">
        <f t="shared" ref="AM27:AM29" si="71">AK27/4</f>
        <v>0</v>
      </c>
      <c r="AN27" s="250"/>
      <c r="AO27" s="1" t="str">
        <f>IFERROR(IF(AND(VALUE(AJ27)&gt;=VALUE(AK27),VALUE(AK27)&gt;=VALUE(AL27)),"",1),"")</f>
        <v/>
      </c>
      <c r="AP27" s="93"/>
      <c r="AQ27" s="91"/>
      <c r="AR27" s="278">
        <f t="shared" ref="AR27:AR29" si="72">AQ27/3</f>
        <v>0</v>
      </c>
      <c r="AS27" s="278">
        <f t="shared" ref="AS27:AS29" si="73">AQ27/4</f>
        <v>0</v>
      </c>
      <c r="AT27" s="250"/>
      <c r="AU27" s="1" t="str">
        <f>IFERROR(IF(AND(VALUE(AP27)&gt;=VALUE(AQ27),VALUE(AQ27)&gt;=VALUE(AR27)),"",1),"")</f>
        <v/>
      </c>
      <c r="AV27" s="93"/>
      <c r="AW27" s="91"/>
      <c r="AX27" s="278">
        <f t="shared" ref="AX27:AX29" si="74">AW27/3</f>
        <v>0</v>
      </c>
      <c r="AY27" s="278">
        <f t="shared" ref="AY27:AY29" si="75">AW27/4</f>
        <v>0</v>
      </c>
      <c r="AZ27" s="250"/>
      <c r="BA27" s="1" t="str">
        <f>IFERROR(IF(AND(VALUE(AV27)&gt;=VALUE(AW27),VALUE(AW27)&gt;=VALUE(AX27)),"",1),"")</f>
        <v/>
      </c>
      <c r="BB27" s="93"/>
      <c r="BC27" s="91"/>
      <c r="BD27" s="278">
        <f t="shared" ref="BD27:BD29" si="76">BC27/3</f>
        <v>0</v>
      </c>
      <c r="BE27" s="278">
        <f t="shared" ref="BE27:BE29" si="77">BC27/4</f>
        <v>0</v>
      </c>
      <c r="BF27" s="250"/>
      <c r="BG27" s="1" t="str">
        <f>IFERROR(IF(AND(VALUE(BB27)&gt;=VALUE(BC27),VALUE(BC27)&gt;=VALUE(BD27)),"",1),"")</f>
        <v/>
      </c>
      <c r="BH27" s="93"/>
      <c r="BI27" s="91"/>
      <c r="BJ27" s="278">
        <f t="shared" ref="BJ27:BJ29" si="78">BI27/3</f>
        <v>0</v>
      </c>
      <c r="BK27" s="278">
        <f t="shared" ref="BK27:BK29" si="79">BI27/4</f>
        <v>0</v>
      </c>
      <c r="BL27" s="250"/>
      <c r="BM27" s="1" t="str">
        <f>IFERROR(IF(AND(VALUE(BH27)&gt;=VALUE(BI27),VALUE(BI27)&gt;=VALUE(BJ27)),"",1),"")</f>
        <v/>
      </c>
    </row>
    <row r="28" spans="3:65" ht="29.25" customHeight="1">
      <c r="C28" s="281" t="s">
        <v>354</v>
      </c>
      <c r="D28" s="22" t="s">
        <v>347</v>
      </c>
      <c r="E28" s="74" t="s">
        <v>348</v>
      </c>
      <c r="F28" s="91"/>
      <c r="G28" s="91"/>
      <c r="H28" s="63">
        <f t="shared" si="60"/>
        <v>0</v>
      </c>
      <c r="I28" s="63">
        <f t="shared" si="61"/>
        <v>0</v>
      </c>
      <c r="J28" s="250"/>
      <c r="K28" s="1" t="str">
        <f>IFERROR(IF(AND(VALUE(F28)&gt;=VALUE(G28),VALUE(G28)&gt;=VALUE(H28)),"",1),"")</f>
        <v/>
      </c>
      <c r="L28" s="93"/>
      <c r="M28" s="91"/>
      <c r="N28" s="63">
        <f t="shared" si="62"/>
        <v>0</v>
      </c>
      <c r="O28" s="64">
        <f t="shared" si="63"/>
        <v>0</v>
      </c>
      <c r="P28" s="250"/>
      <c r="Q28" s="1" t="str">
        <f>IFERROR(IF(AND(VALUE(L28)&gt;=VALUE(M28),VALUE(M28)&gt;=VALUE(N28)),"",1),"")</f>
        <v/>
      </c>
      <c r="R28" s="93"/>
      <c r="S28" s="91"/>
      <c r="T28" s="63">
        <f t="shared" si="64"/>
        <v>0</v>
      </c>
      <c r="U28" s="63">
        <f t="shared" si="65"/>
        <v>0</v>
      </c>
      <c r="V28" s="250"/>
      <c r="W28" s="1" t="str">
        <f>IFERROR(IF(AND(VALUE(R28)&gt;=VALUE(S28),VALUE(S28)&gt;=VALUE(T28)),"",1),"")</f>
        <v/>
      </c>
      <c r="X28" s="93"/>
      <c r="Y28" s="91"/>
      <c r="Z28" s="63">
        <f t="shared" si="66"/>
        <v>0</v>
      </c>
      <c r="AA28" s="63">
        <f t="shared" si="67"/>
        <v>0</v>
      </c>
      <c r="AB28" s="250"/>
      <c r="AC28" s="1" t="str">
        <f>IFERROR(IF(AND(VALUE(X28)&gt;=VALUE(Y28),VALUE(Y28)&gt;=VALUE(Z28)),"",1),"")</f>
        <v/>
      </c>
      <c r="AD28" s="93"/>
      <c r="AE28" s="91"/>
      <c r="AF28" s="63">
        <f t="shared" si="68"/>
        <v>0</v>
      </c>
      <c r="AG28" s="63">
        <f t="shared" si="69"/>
        <v>0</v>
      </c>
      <c r="AH28" s="250"/>
      <c r="AI28" s="1" t="str">
        <f>IFERROR(IF(AND(VALUE(AD28)&gt;=VALUE(AE28),VALUE(AE28)&gt;=VALUE(AF28)),"",1),"")</f>
        <v/>
      </c>
      <c r="AJ28" s="93"/>
      <c r="AK28" s="91"/>
      <c r="AL28" s="63">
        <f t="shared" si="70"/>
        <v>0</v>
      </c>
      <c r="AM28" s="63">
        <f t="shared" si="71"/>
        <v>0</v>
      </c>
      <c r="AN28" s="250"/>
      <c r="AO28" s="1" t="str">
        <f>IFERROR(IF(AND(VALUE(AJ28)&gt;=VALUE(AK28),VALUE(AK28)&gt;=VALUE(AL28)),"",1),"")</f>
        <v/>
      </c>
      <c r="AP28" s="93"/>
      <c r="AQ28" s="91"/>
      <c r="AR28" s="63">
        <f t="shared" si="72"/>
        <v>0</v>
      </c>
      <c r="AS28" s="63">
        <f t="shared" si="73"/>
        <v>0</v>
      </c>
      <c r="AT28" s="250"/>
      <c r="AU28" s="1" t="str">
        <f>IFERROR(IF(AND(VALUE(AP28)&gt;=VALUE(AQ28),VALUE(AQ28)&gt;=VALUE(AR28)),"",1),"")</f>
        <v/>
      </c>
      <c r="AV28" s="93"/>
      <c r="AW28" s="91"/>
      <c r="AX28" s="63">
        <f t="shared" si="74"/>
        <v>0</v>
      </c>
      <c r="AY28" s="63">
        <f t="shared" si="75"/>
        <v>0</v>
      </c>
      <c r="AZ28" s="250"/>
      <c r="BA28" s="1" t="str">
        <f>IFERROR(IF(AND(VALUE(AV28)&gt;=VALUE(AW28),VALUE(AW28)&gt;=VALUE(AX28)),"",1),"")</f>
        <v/>
      </c>
      <c r="BB28" s="93"/>
      <c r="BC28" s="91"/>
      <c r="BD28" s="63">
        <f t="shared" si="76"/>
        <v>0</v>
      </c>
      <c r="BE28" s="63">
        <f t="shared" si="77"/>
        <v>0</v>
      </c>
      <c r="BF28" s="250"/>
      <c r="BG28" s="1" t="str">
        <f>IFERROR(IF(AND(VALUE(BB28)&gt;=VALUE(BC28),VALUE(BC28)&gt;=VALUE(BD28)),"",1),"")</f>
        <v/>
      </c>
      <c r="BH28" s="93"/>
      <c r="BI28" s="91"/>
      <c r="BJ28" s="63">
        <f t="shared" si="78"/>
        <v>0</v>
      </c>
      <c r="BK28" s="63">
        <f t="shared" si="79"/>
        <v>0</v>
      </c>
      <c r="BL28" s="250"/>
      <c r="BM28" s="1" t="str">
        <f>IFERROR(IF(AND(VALUE(BH28)&gt;=VALUE(BI28),VALUE(BI28)&gt;=VALUE(BJ28)),"",1),"")</f>
        <v/>
      </c>
    </row>
    <row r="29" spans="3:65" ht="29.25" customHeight="1">
      <c r="C29" s="281" t="s">
        <v>354</v>
      </c>
      <c r="D29" s="22" t="s">
        <v>349</v>
      </c>
      <c r="E29" s="74" t="s">
        <v>350</v>
      </c>
      <c r="F29" s="91"/>
      <c r="G29" s="91"/>
      <c r="H29" s="63">
        <f t="shared" si="60"/>
        <v>0</v>
      </c>
      <c r="I29" s="63">
        <f t="shared" si="61"/>
        <v>0</v>
      </c>
      <c r="J29" s="250"/>
      <c r="K29" s="1" t="str">
        <f>IFERROR(IF(AND(VALUE(F29)&gt;=VALUE(G29),VALUE(G29)&gt;=VALUE(H29)),"",1),"")</f>
        <v/>
      </c>
      <c r="L29" s="93"/>
      <c r="M29" s="91"/>
      <c r="N29" s="63">
        <f t="shared" si="62"/>
        <v>0</v>
      </c>
      <c r="O29" s="64">
        <f t="shared" si="63"/>
        <v>0</v>
      </c>
      <c r="P29" s="250"/>
      <c r="Q29" s="1" t="str">
        <f>IFERROR(IF(AND(VALUE(L29)&gt;=VALUE(M29),VALUE(M29)&gt;=VALUE(N29)),"",1),"")</f>
        <v/>
      </c>
      <c r="R29" s="93"/>
      <c r="S29" s="91"/>
      <c r="T29" s="63">
        <f t="shared" si="64"/>
        <v>0</v>
      </c>
      <c r="U29" s="63">
        <f t="shared" si="65"/>
        <v>0</v>
      </c>
      <c r="V29" s="250"/>
      <c r="W29" s="1" t="str">
        <f>IFERROR(IF(AND(VALUE(R29)&gt;=VALUE(S29),VALUE(S29)&gt;=VALUE(T29)),"",1),"")</f>
        <v/>
      </c>
      <c r="X29" s="93"/>
      <c r="Y29" s="91"/>
      <c r="Z29" s="63">
        <f t="shared" si="66"/>
        <v>0</v>
      </c>
      <c r="AA29" s="63">
        <f t="shared" si="67"/>
        <v>0</v>
      </c>
      <c r="AB29" s="250"/>
      <c r="AC29" s="1" t="str">
        <f>IFERROR(IF(AND(VALUE(X29)&gt;=VALUE(Y29),VALUE(Y29)&gt;=VALUE(Z29)),"",1),"")</f>
        <v/>
      </c>
      <c r="AD29" s="93"/>
      <c r="AE29" s="91"/>
      <c r="AF29" s="63">
        <f t="shared" si="68"/>
        <v>0</v>
      </c>
      <c r="AG29" s="63">
        <f t="shared" si="69"/>
        <v>0</v>
      </c>
      <c r="AH29" s="250"/>
      <c r="AI29" s="1" t="str">
        <f>IFERROR(IF(AND(VALUE(AD29)&gt;=VALUE(AE29),VALUE(AE29)&gt;=VALUE(AF29)),"",1),"")</f>
        <v/>
      </c>
      <c r="AJ29" s="93"/>
      <c r="AK29" s="91"/>
      <c r="AL29" s="63">
        <f t="shared" si="70"/>
        <v>0</v>
      </c>
      <c r="AM29" s="63">
        <f t="shared" si="71"/>
        <v>0</v>
      </c>
      <c r="AN29" s="250"/>
      <c r="AO29" s="1" t="str">
        <f>IFERROR(IF(AND(VALUE(AJ29)&gt;=VALUE(AK29),VALUE(AK29)&gt;=VALUE(AL29)),"",1),"")</f>
        <v/>
      </c>
      <c r="AP29" s="93"/>
      <c r="AQ29" s="91"/>
      <c r="AR29" s="63">
        <f t="shared" si="72"/>
        <v>0</v>
      </c>
      <c r="AS29" s="63">
        <f t="shared" si="73"/>
        <v>0</v>
      </c>
      <c r="AT29" s="250"/>
      <c r="AU29" s="1" t="str">
        <f>IFERROR(IF(AND(VALUE(AP29)&gt;=VALUE(AQ29),VALUE(AQ29)&gt;=VALUE(AR29)),"",1),"")</f>
        <v/>
      </c>
      <c r="AV29" s="93"/>
      <c r="AW29" s="91"/>
      <c r="AX29" s="63">
        <f t="shared" si="74"/>
        <v>0</v>
      </c>
      <c r="AY29" s="63">
        <f t="shared" si="75"/>
        <v>0</v>
      </c>
      <c r="AZ29" s="250"/>
      <c r="BA29" s="1" t="str">
        <f>IFERROR(IF(AND(VALUE(AV29)&gt;=VALUE(AW29),VALUE(AW29)&gt;=VALUE(AX29)),"",1),"")</f>
        <v/>
      </c>
      <c r="BB29" s="93"/>
      <c r="BC29" s="91"/>
      <c r="BD29" s="63">
        <f t="shared" si="76"/>
        <v>0</v>
      </c>
      <c r="BE29" s="63">
        <f t="shared" si="77"/>
        <v>0</v>
      </c>
      <c r="BF29" s="250"/>
      <c r="BG29" s="1" t="str">
        <f>IFERROR(IF(AND(VALUE(BB29)&gt;=VALUE(BC29),VALUE(BC29)&gt;=VALUE(BD29)),"",1),"")</f>
        <v/>
      </c>
      <c r="BH29" s="93"/>
      <c r="BI29" s="91"/>
      <c r="BJ29" s="63">
        <f t="shared" si="78"/>
        <v>0</v>
      </c>
      <c r="BK29" s="63">
        <f t="shared" si="79"/>
        <v>0</v>
      </c>
      <c r="BL29" s="250"/>
      <c r="BM29" s="1" t="str">
        <f>IFERROR(IF(AND(VALUE(BH29)&gt;=VALUE(BI29),VALUE(BI29)&gt;=VALUE(BJ29)),"",1),"")</f>
        <v/>
      </c>
    </row>
    <row r="30" spans="3:65" ht="29.25" customHeight="1">
      <c r="C30" s="282" t="s">
        <v>354</v>
      </c>
      <c r="D30" s="78" t="s">
        <v>351</v>
      </c>
      <c r="E30" s="79" t="s">
        <v>352</v>
      </c>
      <c r="F30" s="13">
        <f t="shared" ref="F30:I30" si="80">SUM(F27:F29)</f>
        <v>0</v>
      </c>
      <c r="G30" s="13">
        <f t="shared" si="80"/>
        <v>0</v>
      </c>
      <c r="H30" s="63">
        <f t="shared" si="80"/>
        <v>0</v>
      </c>
      <c r="I30" s="63">
        <f t="shared" si="80"/>
        <v>0</v>
      </c>
      <c r="J30" s="252"/>
      <c r="L30" s="80">
        <f>SUM(L27:L29)</f>
        <v>0</v>
      </c>
      <c r="M30" s="13">
        <f>SUM(M27:M29)</f>
        <v>0</v>
      </c>
      <c r="N30" s="63">
        <f t="shared" ref="N30:O30" si="81">SUM(N27:N29)</f>
        <v>0</v>
      </c>
      <c r="O30" s="63">
        <f t="shared" si="81"/>
        <v>0</v>
      </c>
      <c r="P30" s="252"/>
      <c r="R30" s="80">
        <f>SUM(R27:R29)</f>
        <v>0</v>
      </c>
      <c r="S30" s="13">
        <f>SUM(S27:S29)</f>
        <v>0</v>
      </c>
      <c r="T30" s="63">
        <f t="shared" ref="T30:U30" si="82">SUM(T27:T29)</f>
        <v>0</v>
      </c>
      <c r="U30" s="63">
        <f t="shared" si="82"/>
        <v>0</v>
      </c>
      <c r="V30" s="252"/>
      <c r="X30" s="80">
        <f>SUM(X27:X29)</f>
        <v>0</v>
      </c>
      <c r="Y30" s="13">
        <f>SUM(Y27:Y29)</f>
        <v>0</v>
      </c>
      <c r="Z30" s="63">
        <f t="shared" ref="Z30:AA30" si="83">SUM(Z27:Z29)</f>
        <v>0</v>
      </c>
      <c r="AA30" s="63">
        <f t="shared" si="83"/>
        <v>0</v>
      </c>
      <c r="AB30" s="252"/>
      <c r="AD30" s="80">
        <f>SUM(AD27:AD29)</f>
        <v>0</v>
      </c>
      <c r="AE30" s="13">
        <f>SUM(AE27:AE29)</f>
        <v>0</v>
      </c>
      <c r="AF30" s="63">
        <f t="shared" ref="AF30:AG30" si="84">SUM(AF27:AF29)</f>
        <v>0</v>
      </c>
      <c r="AG30" s="63">
        <f t="shared" si="84"/>
        <v>0</v>
      </c>
      <c r="AH30" s="252"/>
      <c r="AJ30" s="80">
        <f>SUM(AJ27:AJ29)</f>
        <v>0</v>
      </c>
      <c r="AK30" s="13">
        <f>SUM(AK27:AK29)</f>
        <v>0</v>
      </c>
      <c r="AL30" s="63">
        <f t="shared" ref="AL30:AM30" si="85">SUM(AL27:AL29)</f>
        <v>0</v>
      </c>
      <c r="AM30" s="63">
        <f t="shared" si="85"/>
        <v>0</v>
      </c>
      <c r="AN30" s="252"/>
      <c r="AP30" s="80">
        <f>SUM(AP27:AP29)</f>
        <v>0</v>
      </c>
      <c r="AQ30" s="13">
        <f>SUM(AQ27:AQ29)</f>
        <v>0</v>
      </c>
      <c r="AR30" s="63">
        <f t="shared" ref="AR30:AS30" si="86">SUM(AR27:AR29)</f>
        <v>0</v>
      </c>
      <c r="AS30" s="63">
        <f t="shared" si="86"/>
        <v>0</v>
      </c>
      <c r="AT30" s="252"/>
      <c r="AV30" s="80">
        <f>SUM(AV27:AV29)</f>
        <v>0</v>
      </c>
      <c r="AW30" s="13">
        <f>SUM(AW27:AW29)</f>
        <v>0</v>
      </c>
      <c r="AX30" s="63">
        <f t="shared" ref="AX30:AY30" si="87">SUM(AX27:AX29)</f>
        <v>0</v>
      </c>
      <c r="AY30" s="63">
        <f t="shared" si="87"/>
        <v>0</v>
      </c>
      <c r="AZ30" s="252"/>
      <c r="BB30" s="80">
        <f>SUM(BB27:BB29)</f>
        <v>0</v>
      </c>
      <c r="BC30" s="13">
        <f>SUM(BC27:BC29)</f>
        <v>0</v>
      </c>
      <c r="BD30" s="63">
        <f t="shared" ref="BD30:BE30" si="88">SUM(BD27:BD29)</f>
        <v>0</v>
      </c>
      <c r="BE30" s="63">
        <f t="shared" si="88"/>
        <v>0</v>
      </c>
      <c r="BF30" s="252"/>
      <c r="BH30" s="80">
        <f>SUM(BH27:BH29)</f>
        <v>0</v>
      </c>
      <c r="BI30" s="13">
        <f>SUM(BI27:BI29)</f>
        <v>0</v>
      </c>
      <c r="BJ30" s="63">
        <f t="shared" ref="BJ30:BK30" si="89">SUM(BJ27:BJ29)</f>
        <v>0</v>
      </c>
      <c r="BK30" s="63">
        <f t="shared" si="89"/>
        <v>0</v>
      </c>
      <c r="BL30" s="252"/>
    </row>
    <row r="31" spans="3:65" ht="29.25" customHeight="1">
      <c r="C31" s="280" t="s">
        <v>355</v>
      </c>
      <c r="D31" s="22" t="s">
        <v>345</v>
      </c>
      <c r="E31" s="74" t="s">
        <v>346</v>
      </c>
      <c r="F31" s="91"/>
      <c r="G31" s="91"/>
      <c r="H31" s="278">
        <f t="shared" ref="H31:H33" si="90">G31/3</f>
        <v>0</v>
      </c>
      <c r="I31" s="278">
        <f t="shared" ref="I31:I33" si="91">G31/4</f>
        <v>0</v>
      </c>
      <c r="J31" s="250"/>
      <c r="K31" s="1" t="str">
        <f>IFERROR(IF(AND(VALUE(F31)&gt;=VALUE(G31),VALUE(G31)&gt;=VALUE(H31)),"",1),"")</f>
        <v/>
      </c>
      <c r="L31" s="93"/>
      <c r="M31" s="91"/>
      <c r="N31" s="278">
        <f t="shared" ref="N31:N33" si="92">M31/3</f>
        <v>0</v>
      </c>
      <c r="O31" s="285">
        <f t="shared" ref="O31:O33" si="93">M31/4</f>
        <v>0</v>
      </c>
      <c r="P31" s="250"/>
      <c r="Q31" s="1" t="str">
        <f>IFERROR(IF(AND(VALUE(L31)&gt;=VALUE(M31),VALUE(M31)&gt;=VALUE(N31)),"",1),"")</f>
        <v/>
      </c>
      <c r="R31" s="93"/>
      <c r="S31" s="91"/>
      <c r="T31" s="278">
        <f t="shared" ref="T31:T33" si="94">S31/3</f>
        <v>0</v>
      </c>
      <c r="U31" s="278">
        <f t="shared" ref="U31:U33" si="95">S31/4</f>
        <v>0</v>
      </c>
      <c r="V31" s="250"/>
      <c r="W31" s="1" t="str">
        <f>IFERROR(IF(AND(VALUE(R31)&gt;=VALUE(S31),VALUE(S31)&gt;=VALUE(T31)),"",1),"")</f>
        <v/>
      </c>
      <c r="X31" s="93"/>
      <c r="Y31" s="91"/>
      <c r="Z31" s="278">
        <f t="shared" ref="Z31:Z33" si="96">Y31/3</f>
        <v>0</v>
      </c>
      <c r="AA31" s="278">
        <f t="shared" ref="AA31:AA33" si="97">Y31/4</f>
        <v>0</v>
      </c>
      <c r="AB31" s="250"/>
      <c r="AC31" s="1" t="str">
        <f>IFERROR(IF(AND(VALUE(X31)&gt;=VALUE(Y31),VALUE(Y31)&gt;=VALUE(Z31)),"",1),"")</f>
        <v/>
      </c>
      <c r="AD31" s="93"/>
      <c r="AE31" s="91"/>
      <c r="AF31" s="278">
        <f t="shared" ref="AF31:AF33" si="98">AE31/3</f>
        <v>0</v>
      </c>
      <c r="AG31" s="278">
        <f t="shared" ref="AG31:AG33" si="99">AE31/4</f>
        <v>0</v>
      </c>
      <c r="AH31" s="250"/>
      <c r="AI31" s="1" t="str">
        <f>IFERROR(IF(AND(VALUE(AD31)&gt;=VALUE(AE31),VALUE(AE31)&gt;=VALUE(AF31)),"",1),"")</f>
        <v/>
      </c>
      <c r="AJ31" s="93"/>
      <c r="AK31" s="91"/>
      <c r="AL31" s="278">
        <f t="shared" ref="AL31:AL33" si="100">AK31/3</f>
        <v>0</v>
      </c>
      <c r="AM31" s="278">
        <f t="shared" ref="AM31:AM33" si="101">AK31/4</f>
        <v>0</v>
      </c>
      <c r="AN31" s="250"/>
      <c r="AO31" s="1" t="str">
        <f>IFERROR(IF(AND(VALUE(AJ31)&gt;=VALUE(AK31),VALUE(AK31)&gt;=VALUE(AL31)),"",1),"")</f>
        <v/>
      </c>
      <c r="AP31" s="93"/>
      <c r="AQ31" s="91"/>
      <c r="AR31" s="278">
        <f t="shared" ref="AR31:AR33" si="102">AQ31/3</f>
        <v>0</v>
      </c>
      <c r="AS31" s="278">
        <f t="shared" ref="AS31:AS33" si="103">AQ31/4</f>
        <v>0</v>
      </c>
      <c r="AT31" s="250"/>
      <c r="AU31" s="1" t="str">
        <f>IFERROR(IF(AND(VALUE(AP31)&gt;=VALUE(AQ31),VALUE(AQ31)&gt;=VALUE(AR31)),"",1),"")</f>
        <v/>
      </c>
      <c r="AV31" s="93"/>
      <c r="AW31" s="91"/>
      <c r="AX31" s="278">
        <f t="shared" ref="AX31:AX33" si="104">AW31/3</f>
        <v>0</v>
      </c>
      <c r="AY31" s="278">
        <f t="shared" ref="AY31:AY33" si="105">AW31/4</f>
        <v>0</v>
      </c>
      <c r="AZ31" s="250"/>
      <c r="BA31" s="1" t="str">
        <f>IFERROR(IF(AND(VALUE(AV31)&gt;=VALUE(AW31),VALUE(AW31)&gt;=VALUE(AX31)),"",1),"")</f>
        <v/>
      </c>
      <c r="BB31" s="93"/>
      <c r="BC31" s="91"/>
      <c r="BD31" s="278">
        <f t="shared" ref="BD31:BD33" si="106">BC31/3</f>
        <v>0</v>
      </c>
      <c r="BE31" s="278">
        <f t="shared" ref="BE31:BE33" si="107">BC31/4</f>
        <v>0</v>
      </c>
      <c r="BF31" s="250"/>
      <c r="BG31" s="1" t="str">
        <f>IFERROR(IF(AND(VALUE(BB31)&gt;=VALUE(BC31),VALUE(BC31)&gt;=VALUE(BD31)),"",1),"")</f>
        <v/>
      </c>
      <c r="BH31" s="93"/>
      <c r="BI31" s="91"/>
      <c r="BJ31" s="278">
        <f t="shared" ref="BJ31:BJ33" si="108">BI31/3</f>
        <v>0</v>
      </c>
      <c r="BK31" s="278">
        <f t="shared" ref="BK31:BK33" si="109">BI31/4</f>
        <v>0</v>
      </c>
      <c r="BL31" s="250"/>
      <c r="BM31" s="1" t="str">
        <f>IFERROR(IF(AND(VALUE(BH31)&gt;=VALUE(BI31),VALUE(BI31)&gt;=VALUE(BJ31)),"",1),"")</f>
        <v/>
      </c>
    </row>
    <row r="32" spans="3:65" ht="29.25" customHeight="1">
      <c r="C32" s="281" t="s">
        <v>355</v>
      </c>
      <c r="D32" s="22" t="s">
        <v>347</v>
      </c>
      <c r="E32" s="74" t="s">
        <v>348</v>
      </c>
      <c r="F32" s="91"/>
      <c r="G32" s="91"/>
      <c r="H32" s="63">
        <f t="shared" si="90"/>
        <v>0</v>
      </c>
      <c r="I32" s="63">
        <f t="shared" si="91"/>
        <v>0</v>
      </c>
      <c r="J32" s="250"/>
      <c r="K32" s="1" t="str">
        <f>IFERROR(IF(AND(VALUE(F32)&gt;=VALUE(G32),VALUE(G32)&gt;=VALUE(H32)),"",1),"")</f>
        <v/>
      </c>
      <c r="L32" s="93"/>
      <c r="M32" s="91"/>
      <c r="N32" s="63">
        <f t="shared" si="92"/>
        <v>0</v>
      </c>
      <c r="O32" s="64">
        <f t="shared" si="93"/>
        <v>0</v>
      </c>
      <c r="P32" s="250"/>
      <c r="Q32" s="1" t="str">
        <f>IFERROR(IF(AND(VALUE(L32)&gt;=VALUE(M32),VALUE(M32)&gt;=VALUE(N32)),"",1),"")</f>
        <v/>
      </c>
      <c r="R32" s="93"/>
      <c r="S32" s="91"/>
      <c r="T32" s="63">
        <f t="shared" si="94"/>
        <v>0</v>
      </c>
      <c r="U32" s="63">
        <f t="shared" si="95"/>
        <v>0</v>
      </c>
      <c r="V32" s="250"/>
      <c r="W32" s="1" t="str">
        <f>IFERROR(IF(AND(VALUE(R32)&gt;=VALUE(S32),VALUE(S32)&gt;=VALUE(T32)),"",1),"")</f>
        <v/>
      </c>
      <c r="X32" s="93"/>
      <c r="Y32" s="91"/>
      <c r="Z32" s="63">
        <f t="shared" si="96"/>
        <v>0</v>
      </c>
      <c r="AA32" s="63">
        <f t="shared" si="97"/>
        <v>0</v>
      </c>
      <c r="AB32" s="250"/>
      <c r="AC32" s="1" t="str">
        <f>IFERROR(IF(AND(VALUE(X32)&gt;=VALUE(Y32),VALUE(Y32)&gt;=VALUE(Z32)),"",1),"")</f>
        <v/>
      </c>
      <c r="AD32" s="93"/>
      <c r="AE32" s="91"/>
      <c r="AF32" s="63">
        <f t="shared" si="98"/>
        <v>0</v>
      </c>
      <c r="AG32" s="63">
        <f t="shared" si="99"/>
        <v>0</v>
      </c>
      <c r="AH32" s="250"/>
      <c r="AI32" s="1" t="str">
        <f>IFERROR(IF(AND(VALUE(AD32)&gt;=VALUE(AE32),VALUE(AE32)&gt;=VALUE(AF32)),"",1),"")</f>
        <v/>
      </c>
      <c r="AJ32" s="93"/>
      <c r="AK32" s="91"/>
      <c r="AL32" s="63">
        <f t="shared" si="100"/>
        <v>0</v>
      </c>
      <c r="AM32" s="63">
        <f t="shared" si="101"/>
        <v>0</v>
      </c>
      <c r="AN32" s="250"/>
      <c r="AO32" s="1" t="str">
        <f>IFERROR(IF(AND(VALUE(AJ32)&gt;=VALUE(AK32),VALUE(AK32)&gt;=VALUE(AL32)),"",1),"")</f>
        <v/>
      </c>
      <c r="AP32" s="93"/>
      <c r="AQ32" s="91"/>
      <c r="AR32" s="63">
        <f t="shared" si="102"/>
        <v>0</v>
      </c>
      <c r="AS32" s="63">
        <f t="shared" si="103"/>
        <v>0</v>
      </c>
      <c r="AT32" s="250"/>
      <c r="AU32" s="1" t="str">
        <f>IFERROR(IF(AND(VALUE(AP32)&gt;=VALUE(AQ32),VALUE(AQ32)&gt;=VALUE(AR32)),"",1),"")</f>
        <v/>
      </c>
      <c r="AV32" s="93"/>
      <c r="AW32" s="91"/>
      <c r="AX32" s="63">
        <f t="shared" si="104"/>
        <v>0</v>
      </c>
      <c r="AY32" s="63">
        <f t="shared" si="105"/>
        <v>0</v>
      </c>
      <c r="AZ32" s="250"/>
      <c r="BA32" s="1" t="str">
        <f>IFERROR(IF(AND(VALUE(AV32)&gt;=VALUE(AW32),VALUE(AW32)&gt;=VALUE(AX32)),"",1),"")</f>
        <v/>
      </c>
      <c r="BB32" s="93"/>
      <c r="BC32" s="91"/>
      <c r="BD32" s="63">
        <f t="shared" si="106"/>
        <v>0</v>
      </c>
      <c r="BE32" s="63">
        <f t="shared" si="107"/>
        <v>0</v>
      </c>
      <c r="BF32" s="250"/>
      <c r="BG32" s="1" t="str">
        <f>IFERROR(IF(AND(VALUE(BB32)&gt;=VALUE(BC32),VALUE(BC32)&gt;=VALUE(BD32)),"",1),"")</f>
        <v/>
      </c>
      <c r="BH32" s="93"/>
      <c r="BI32" s="91"/>
      <c r="BJ32" s="63">
        <f t="shared" si="108"/>
        <v>0</v>
      </c>
      <c r="BK32" s="63">
        <f t="shared" si="109"/>
        <v>0</v>
      </c>
      <c r="BL32" s="250"/>
      <c r="BM32" s="1" t="str">
        <f>IFERROR(IF(AND(VALUE(BH32)&gt;=VALUE(BI32),VALUE(BI32)&gt;=VALUE(BJ32)),"",1),"")</f>
        <v/>
      </c>
    </row>
    <row r="33" spans="2:65" ht="29.25" customHeight="1">
      <c r="C33" s="281" t="s">
        <v>355</v>
      </c>
      <c r="D33" s="22" t="s">
        <v>349</v>
      </c>
      <c r="E33" s="74" t="s">
        <v>350</v>
      </c>
      <c r="F33" s="91"/>
      <c r="G33" s="91"/>
      <c r="H33" s="63">
        <f t="shared" si="90"/>
        <v>0</v>
      </c>
      <c r="I33" s="63">
        <f t="shared" si="91"/>
        <v>0</v>
      </c>
      <c r="J33" s="250"/>
      <c r="K33" s="1" t="str">
        <f>IFERROR(IF(AND(VALUE(F33)&gt;=VALUE(G33),VALUE(G33)&gt;=VALUE(H33)),"",1),"")</f>
        <v/>
      </c>
      <c r="L33" s="93"/>
      <c r="M33" s="91"/>
      <c r="N33" s="63">
        <f t="shared" si="92"/>
        <v>0</v>
      </c>
      <c r="O33" s="64">
        <f t="shared" si="93"/>
        <v>0</v>
      </c>
      <c r="P33" s="250"/>
      <c r="Q33" s="1" t="str">
        <f>IFERROR(IF(AND(VALUE(L33)&gt;=VALUE(M33),VALUE(M33)&gt;=VALUE(N33)),"",1),"")</f>
        <v/>
      </c>
      <c r="R33" s="93"/>
      <c r="S33" s="91"/>
      <c r="T33" s="63">
        <f t="shared" si="94"/>
        <v>0</v>
      </c>
      <c r="U33" s="63">
        <f t="shared" si="95"/>
        <v>0</v>
      </c>
      <c r="V33" s="250"/>
      <c r="W33" s="1" t="str">
        <f>IFERROR(IF(AND(VALUE(R33)&gt;=VALUE(S33),VALUE(S33)&gt;=VALUE(T33)),"",1),"")</f>
        <v/>
      </c>
      <c r="X33" s="93"/>
      <c r="Y33" s="91"/>
      <c r="Z33" s="63">
        <f t="shared" si="96"/>
        <v>0</v>
      </c>
      <c r="AA33" s="63">
        <f t="shared" si="97"/>
        <v>0</v>
      </c>
      <c r="AB33" s="250"/>
      <c r="AC33" s="1" t="str">
        <f>IFERROR(IF(AND(VALUE(X33)&gt;=VALUE(Y33),VALUE(Y33)&gt;=VALUE(Z33)),"",1),"")</f>
        <v/>
      </c>
      <c r="AD33" s="93"/>
      <c r="AE33" s="91"/>
      <c r="AF33" s="63">
        <f t="shared" si="98"/>
        <v>0</v>
      </c>
      <c r="AG33" s="63">
        <f t="shared" si="99"/>
        <v>0</v>
      </c>
      <c r="AH33" s="250"/>
      <c r="AI33" s="1" t="str">
        <f>IFERROR(IF(AND(VALUE(AD33)&gt;=VALUE(AE33),VALUE(AE33)&gt;=VALUE(AF33)),"",1),"")</f>
        <v/>
      </c>
      <c r="AJ33" s="93"/>
      <c r="AK33" s="91"/>
      <c r="AL33" s="63">
        <f t="shared" si="100"/>
        <v>0</v>
      </c>
      <c r="AM33" s="63">
        <f t="shared" si="101"/>
        <v>0</v>
      </c>
      <c r="AN33" s="250"/>
      <c r="AO33" s="1" t="str">
        <f>IFERROR(IF(AND(VALUE(AJ33)&gt;=VALUE(AK33),VALUE(AK33)&gt;=VALUE(AL33)),"",1),"")</f>
        <v/>
      </c>
      <c r="AP33" s="93"/>
      <c r="AQ33" s="91"/>
      <c r="AR33" s="63">
        <f t="shared" si="102"/>
        <v>0</v>
      </c>
      <c r="AS33" s="63">
        <f t="shared" si="103"/>
        <v>0</v>
      </c>
      <c r="AT33" s="250"/>
      <c r="AU33" s="1" t="str">
        <f>IFERROR(IF(AND(VALUE(AP33)&gt;=VALUE(AQ33),VALUE(AQ33)&gt;=VALUE(AR33)),"",1),"")</f>
        <v/>
      </c>
      <c r="AV33" s="93"/>
      <c r="AW33" s="91"/>
      <c r="AX33" s="63">
        <f t="shared" si="104"/>
        <v>0</v>
      </c>
      <c r="AY33" s="63">
        <f t="shared" si="105"/>
        <v>0</v>
      </c>
      <c r="AZ33" s="250"/>
      <c r="BA33" s="1" t="str">
        <f>IFERROR(IF(AND(VALUE(AV33)&gt;=VALUE(AW33),VALUE(AW33)&gt;=VALUE(AX33)),"",1),"")</f>
        <v/>
      </c>
      <c r="BB33" s="93"/>
      <c r="BC33" s="91"/>
      <c r="BD33" s="63">
        <f t="shared" si="106"/>
        <v>0</v>
      </c>
      <c r="BE33" s="63">
        <f t="shared" si="107"/>
        <v>0</v>
      </c>
      <c r="BF33" s="250"/>
      <c r="BG33" s="1" t="str">
        <f>IFERROR(IF(AND(VALUE(BB33)&gt;=VALUE(BC33),VALUE(BC33)&gt;=VALUE(BD33)),"",1),"")</f>
        <v/>
      </c>
      <c r="BH33" s="93"/>
      <c r="BI33" s="91"/>
      <c r="BJ33" s="63">
        <f t="shared" si="108"/>
        <v>0</v>
      </c>
      <c r="BK33" s="63">
        <f t="shared" si="109"/>
        <v>0</v>
      </c>
      <c r="BL33" s="250"/>
      <c r="BM33" s="1" t="str">
        <f>IFERROR(IF(AND(VALUE(BH33)&gt;=VALUE(BI33),VALUE(BI33)&gt;=VALUE(BJ33)),"",1),"")</f>
        <v/>
      </c>
    </row>
    <row r="34" spans="2:65" ht="29.25" customHeight="1">
      <c r="C34" s="282" t="s">
        <v>355</v>
      </c>
      <c r="D34" s="78" t="s">
        <v>351</v>
      </c>
      <c r="E34" s="79" t="s">
        <v>352</v>
      </c>
      <c r="F34" s="13">
        <f t="shared" ref="F34:I34" si="110">SUM(F31:F33)</f>
        <v>0</v>
      </c>
      <c r="G34" s="13">
        <f t="shared" si="110"/>
        <v>0</v>
      </c>
      <c r="H34" s="63">
        <f t="shared" si="110"/>
        <v>0</v>
      </c>
      <c r="I34" s="63">
        <f t="shared" si="110"/>
        <v>0</v>
      </c>
      <c r="J34" s="252"/>
      <c r="L34" s="80">
        <f>SUM(L31:L33)</f>
        <v>0</v>
      </c>
      <c r="M34" s="13">
        <f>SUM(M31:M33)</f>
        <v>0</v>
      </c>
      <c r="N34" s="63">
        <f t="shared" ref="N34:O34" si="111">SUM(N31:N33)</f>
        <v>0</v>
      </c>
      <c r="O34" s="63">
        <f t="shared" si="111"/>
        <v>0</v>
      </c>
      <c r="P34" s="252"/>
      <c r="R34" s="80">
        <f>SUM(R31:R33)</f>
        <v>0</v>
      </c>
      <c r="S34" s="13">
        <f>SUM(S31:S33)</f>
        <v>0</v>
      </c>
      <c r="T34" s="63">
        <f t="shared" ref="T34:U34" si="112">SUM(T31:T33)</f>
        <v>0</v>
      </c>
      <c r="U34" s="63">
        <f t="shared" si="112"/>
        <v>0</v>
      </c>
      <c r="V34" s="252"/>
      <c r="X34" s="80">
        <f>SUM(X31:X33)</f>
        <v>0</v>
      </c>
      <c r="Y34" s="13">
        <f>SUM(Y31:Y33)</f>
        <v>0</v>
      </c>
      <c r="Z34" s="63">
        <f t="shared" ref="Z34:AA34" si="113">SUM(Z31:Z33)</f>
        <v>0</v>
      </c>
      <c r="AA34" s="63">
        <f t="shared" si="113"/>
        <v>0</v>
      </c>
      <c r="AB34" s="252"/>
      <c r="AD34" s="80">
        <f>SUM(AD31:AD33)</f>
        <v>0</v>
      </c>
      <c r="AE34" s="13">
        <f>SUM(AE31:AE33)</f>
        <v>0</v>
      </c>
      <c r="AF34" s="63">
        <f t="shared" ref="AF34:AG34" si="114">SUM(AF31:AF33)</f>
        <v>0</v>
      </c>
      <c r="AG34" s="63">
        <f t="shared" si="114"/>
        <v>0</v>
      </c>
      <c r="AH34" s="252"/>
      <c r="AJ34" s="80">
        <f>SUM(AJ31:AJ33)</f>
        <v>0</v>
      </c>
      <c r="AK34" s="13">
        <f>SUM(AK31:AK33)</f>
        <v>0</v>
      </c>
      <c r="AL34" s="63">
        <f t="shared" ref="AL34:AM34" si="115">SUM(AL31:AL33)</f>
        <v>0</v>
      </c>
      <c r="AM34" s="63">
        <f t="shared" si="115"/>
        <v>0</v>
      </c>
      <c r="AN34" s="252"/>
      <c r="AP34" s="80">
        <f>SUM(AP31:AP33)</f>
        <v>0</v>
      </c>
      <c r="AQ34" s="13">
        <f>SUM(AQ31:AQ33)</f>
        <v>0</v>
      </c>
      <c r="AR34" s="63">
        <f t="shared" ref="AR34:AS34" si="116">SUM(AR31:AR33)</f>
        <v>0</v>
      </c>
      <c r="AS34" s="63">
        <f t="shared" si="116"/>
        <v>0</v>
      </c>
      <c r="AT34" s="252"/>
      <c r="AV34" s="80">
        <f>SUM(AV31:AV33)</f>
        <v>0</v>
      </c>
      <c r="AW34" s="13">
        <f>SUM(AW31:AW33)</f>
        <v>0</v>
      </c>
      <c r="AX34" s="63">
        <f t="shared" ref="AX34:AY34" si="117">SUM(AX31:AX33)</f>
        <v>0</v>
      </c>
      <c r="AY34" s="63">
        <f t="shared" si="117"/>
        <v>0</v>
      </c>
      <c r="AZ34" s="252"/>
      <c r="BB34" s="80">
        <f>SUM(BB31:BB33)</f>
        <v>0</v>
      </c>
      <c r="BC34" s="13">
        <f>SUM(BC31:BC33)</f>
        <v>0</v>
      </c>
      <c r="BD34" s="63">
        <f t="shared" ref="BD34:BE34" si="118">SUM(BD31:BD33)</f>
        <v>0</v>
      </c>
      <c r="BE34" s="63">
        <f t="shared" si="118"/>
        <v>0</v>
      </c>
      <c r="BF34" s="252"/>
      <c r="BH34" s="80">
        <f>SUM(BH31:BH33)</f>
        <v>0</v>
      </c>
      <c r="BI34" s="13">
        <f>SUM(BI31:BI33)</f>
        <v>0</v>
      </c>
      <c r="BJ34" s="63">
        <f t="shared" ref="BJ34:BK34" si="119">SUM(BJ31:BJ33)</f>
        <v>0</v>
      </c>
      <c r="BK34" s="63">
        <f t="shared" si="119"/>
        <v>0</v>
      </c>
      <c r="BL34" s="252"/>
    </row>
    <row r="35" spans="2:65" ht="29.25" customHeight="1">
      <c r="C35" s="280" t="s">
        <v>356</v>
      </c>
      <c r="D35" s="22" t="s">
        <v>345</v>
      </c>
      <c r="E35" s="74" t="s">
        <v>346</v>
      </c>
      <c r="F35" s="92"/>
      <c r="G35" s="92"/>
      <c r="H35" s="278">
        <f t="shared" ref="H35:H37" si="120">G35/3</f>
        <v>0</v>
      </c>
      <c r="I35" s="278">
        <f t="shared" ref="I35:I37" si="121">G35/4</f>
        <v>0</v>
      </c>
      <c r="J35" s="251"/>
      <c r="K35" s="1" t="str">
        <f>IFERROR(IF(AND(VALUE(F35)&gt;=VALUE(G35),VALUE(G35)&gt;=VALUE(H35)),"",1),"")</f>
        <v/>
      </c>
      <c r="L35" s="94"/>
      <c r="M35" s="92"/>
      <c r="N35" s="286">
        <f t="shared" ref="N35:N37" si="122">M35/3</f>
        <v>0</v>
      </c>
      <c r="O35" s="287">
        <f t="shared" ref="O35:O37" si="123">M35/4</f>
        <v>0</v>
      </c>
      <c r="P35" s="251"/>
      <c r="Q35" s="1" t="str">
        <f>IFERROR(IF(AND(VALUE(L35)&gt;=VALUE(M35),VALUE(M35)&gt;=VALUE(N35)),"",1),"")</f>
        <v/>
      </c>
      <c r="R35" s="94"/>
      <c r="S35" s="92"/>
      <c r="T35" s="286">
        <f t="shared" ref="T35:T37" si="124">S35/3</f>
        <v>0</v>
      </c>
      <c r="U35" s="286">
        <f t="shared" ref="U35:U37" si="125">S35/4</f>
        <v>0</v>
      </c>
      <c r="V35" s="251"/>
      <c r="W35" s="1" t="str">
        <f>IFERROR(IF(AND(VALUE(R35)&gt;=VALUE(S35),VALUE(S35)&gt;=VALUE(T35)),"",1),"")</f>
        <v/>
      </c>
      <c r="X35" s="94"/>
      <c r="Y35" s="92"/>
      <c r="Z35" s="286">
        <f t="shared" ref="Z35:Z37" si="126">Y35/3</f>
        <v>0</v>
      </c>
      <c r="AA35" s="286">
        <f t="shared" ref="AA35:AA37" si="127">Y35/4</f>
        <v>0</v>
      </c>
      <c r="AB35" s="251"/>
      <c r="AC35" s="1" t="str">
        <f>IFERROR(IF(AND(VALUE(X35)&gt;=VALUE(Y35),VALUE(Y35)&gt;=VALUE(Z35)),"",1),"")</f>
        <v/>
      </c>
      <c r="AD35" s="94"/>
      <c r="AE35" s="92"/>
      <c r="AF35" s="286">
        <f t="shared" ref="AF35:AF37" si="128">AE35/3</f>
        <v>0</v>
      </c>
      <c r="AG35" s="286">
        <f t="shared" ref="AG35:AG37" si="129">AE35/4</f>
        <v>0</v>
      </c>
      <c r="AH35" s="251"/>
      <c r="AI35" s="1" t="str">
        <f>IFERROR(IF(AND(VALUE(AD35)&gt;=VALUE(AE35),VALUE(AE35)&gt;=VALUE(AF35)),"",1),"")</f>
        <v/>
      </c>
      <c r="AJ35" s="94"/>
      <c r="AK35" s="92"/>
      <c r="AL35" s="286">
        <f t="shared" ref="AL35:AL37" si="130">AK35/3</f>
        <v>0</v>
      </c>
      <c r="AM35" s="286">
        <f t="shared" ref="AM35:AM37" si="131">AK35/4</f>
        <v>0</v>
      </c>
      <c r="AN35" s="251"/>
      <c r="AO35" s="1" t="str">
        <f>IFERROR(IF(AND(VALUE(AJ35)&gt;=VALUE(AK35),VALUE(AK35)&gt;=VALUE(AL35)),"",1),"")</f>
        <v/>
      </c>
      <c r="AP35" s="94"/>
      <c r="AQ35" s="92"/>
      <c r="AR35" s="286">
        <f t="shared" ref="AR35:AR37" si="132">AQ35/3</f>
        <v>0</v>
      </c>
      <c r="AS35" s="286">
        <f t="shared" ref="AS35:AS37" si="133">AQ35/4</f>
        <v>0</v>
      </c>
      <c r="AT35" s="251"/>
      <c r="AU35" s="1" t="str">
        <f>IFERROR(IF(AND(VALUE(AP35)&gt;=VALUE(AQ35),VALUE(AQ35)&gt;=VALUE(AR35)),"",1),"")</f>
        <v/>
      </c>
      <c r="AV35" s="94"/>
      <c r="AW35" s="92"/>
      <c r="AX35" s="286">
        <f t="shared" ref="AX35:AX37" si="134">AW35/3</f>
        <v>0</v>
      </c>
      <c r="AY35" s="286">
        <f t="shared" ref="AY35:AY37" si="135">AW35/4</f>
        <v>0</v>
      </c>
      <c r="AZ35" s="251"/>
      <c r="BA35" s="1" t="str">
        <f>IFERROR(IF(AND(VALUE(AV35)&gt;=VALUE(AW35),VALUE(AW35)&gt;=VALUE(AX35)),"",1),"")</f>
        <v/>
      </c>
      <c r="BB35" s="94"/>
      <c r="BC35" s="92"/>
      <c r="BD35" s="286">
        <f t="shared" ref="BD35:BD37" si="136">BC35/3</f>
        <v>0</v>
      </c>
      <c r="BE35" s="286">
        <f t="shared" ref="BE35:BE37" si="137">BC35/4</f>
        <v>0</v>
      </c>
      <c r="BF35" s="251"/>
      <c r="BG35" s="1" t="str">
        <f>IFERROR(IF(AND(VALUE(BB35)&gt;=VALUE(BC35),VALUE(BC35)&gt;=VALUE(BD35)),"",1),"")</f>
        <v/>
      </c>
      <c r="BH35" s="94"/>
      <c r="BI35" s="92"/>
      <c r="BJ35" s="286">
        <f t="shared" ref="BJ35:BJ37" si="138">BI35/3</f>
        <v>0</v>
      </c>
      <c r="BK35" s="286">
        <f t="shared" ref="BK35:BK37" si="139">BI35/4</f>
        <v>0</v>
      </c>
      <c r="BL35" s="251"/>
      <c r="BM35" s="1" t="str">
        <f>IFERROR(IF(AND(VALUE(BH35)&gt;=VALUE(BI35),VALUE(BI35)&gt;=VALUE(BJ35)),"",1),"")</f>
        <v/>
      </c>
    </row>
    <row r="36" spans="2:65" ht="29.25" customHeight="1">
      <c r="C36" s="281" t="s">
        <v>356</v>
      </c>
      <c r="D36" s="22" t="s">
        <v>347</v>
      </c>
      <c r="E36" s="74" t="s">
        <v>348</v>
      </c>
      <c r="F36" s="91"/>
      <c r="G36" s="91"/>
      <c r="H36" s="63">
        <f t="shared" si="120"/>
        <v>0</v>
      </c>
      <c r="I36" s="63">
        <f t="shared" si="121"/>
        <v>0</v>
      </c>
      <c r="J36" s="250"/>
      <c r="K36" s="1" t="str">
        <f>IFERROR(IF(AND(VALUE(F36)&gt;=VALUE(G36),VALUE(G36)&gt;=VALUE(H36)),"",1),"")</f>
        <v/>
      </c>
      <c r="L36" s="93"/>
      <c r="M36" s="91"/>
      <c r="N36" s="63">
        <f t="shared" si="122"/>
        <v>0</v>
      </c>
      <c r="O36" s="64">
        <f t="shared" si="123"/>
        <v>0</v>
      </c>
      <c r="P36" s="250"/>
      <c r="Q36" s="1" t="str">
        <f>IFERROR(IF(AND(VALUE(L36)&gt;=VALUE(M36),VALUE(M36)&gt;=VALUE(N36)),"",1),"")</f>
        <v/>
      </c>
      <c r="R36" s="93"/>
      <c r="S36" s="91"/>
      <c r="T36" s="63">
        <f t="shared" si="124"/>
        <v>0</v>
      </c>
      <c r="U36" s="63">
        <f t="shared" si="125"/>
        <v>0</v>
      </c>
      <c r="V36" s="250"/>
      <c r="W36" s="1" t="str">
        <f>IFERROR(IF(AND(VALUE(R36)&gt;=VALUE(S36),VALUE(S36)&gt;=VALUE(T36)),"",1),"")</f>
        <v/>
      </c>
      <c r="X36" s="93"/>
      <c r="Y36" s="91"/>
      <c r="Z36" s="63">
        <f t="shared" si="126"/>
        <v>0</v>
      </c>
      <c r="AA36" s="63">
        <f t="shared" si="127"/>
        <v>0</v>
      </c>
      <c r="AB36" s="250"/>
      <c r="AC36" s="1" t="str">
        <f>IFERROR(IF(AND(VALUE(X36)&gt;=VALUE(Y36),VALUE(Y36)&gt;=VALUE(Z36)),"",1),"")</f>
        <v/>
      </c>
      <c r="AD36" s="93"/>
      <c r="AE36" s="91"/>
      <c r="AF36" s="63">
        <f t="shared" si="128"/>
        <v>0</v>
      </c>
      <c r="AG36" s="63">
        <f t="shared" si="129"/>
        <v>0</v>
      </c>
      <c r="AH36" s="250"/>
      <c r="AI36" s="1" t="str">
        <f>IFERROR(IF(AND(VALUE(AD36)&gt;=VALUE(AE36),VALUE(AE36)&gt;=VALUE(AF36)),"",1),"")</f>
        <v/>
      </c>
      <c r="AJ36" s="93"/>
      <c r="AK36" s="91"/>
      <c r="AL36" s="63">
        <f t="shared" si="130"/>
        <v>0</v>
      </c>
      <c r="AM36" s="63">
        <f t="shared" si="131"/>
        <v>0</v>
      </c>
      <c r="AN36" s="250"/>
      <c r="AO36" s="1" t="str">
        <f>IFERROR(IF(AND(VALUE(AJ36)&gt;=VALUE(AK36),VALUE(AK36)&gt;=VALUE(AL36)),"",1),"")</f>
        <v/>
      </c>
      <c r="AP36" s="93"/>
      <c r="AQ36" s="91"/>
      <c r="AR36" s="63">
        <f t="shared" si="132"/>
        <v>0</v>
      </c>
      <c r="AS36" s="63">
        <f t="shared" si="133"/>
        <v>0</v>
      </c>
      <c r="AT36" s="250"/>
      <c r="AU36" s="1" t="str">
        <f>IFERROR(IF(AND(VALUE(AP36)&gt;=VALUE(AQ36),VALUE(AQ36)&gt;=VALUE(AR36)),"",1),"")</f>
        <v/>
      </c>
      <c r="AV36" s="93"/>
      <c r="AW36" s="91"/>
      <c r="AX36" s="63">
        <f t="shared" si="134"/>
        <v>0</v>
      </c>
      <c r="AY36" s="63">
        <f t="shared" si="135"/>
        <v>0</v>
      </c>
      <c r="AZ36" s="250"/>
      <c r="BA36" s="1" t="str">
        <f>IFERROR(IF(AND(VALUE(AV36)&gt;=VALUE(AW36),VALUE(AW36)&gt;=VALUE(AX36)),"",1),"")</f>
        <v/>
      </c>
      <c r="BB36" s="93"/>
      <c r="BC36" s="91"/>
      <c r="BD36" s="63">
        <f t="shared" si="136"/>
        <v>0</v>
      </c>
      <c r="BE36" s="63">
        <f t="shared" si="137"/>
        <v>0</v>
      </c>
      <c r="BF36" s="250"/>
      <c r="BG36" s="1" t="str">
        <f>IFERROR(IF(AND(VALUE(BB36)&gt;=VALUE(BC36),VALUE(BC36)&gt;=VALUE(BD36)),"",1),"")</f>
        <v/>
      </c>
      <c r="BH36" s="93"/>
      <c r="BI36" s="91"/>
      <c r="BJ36" s="63">
        <f t="shared" si="138"/>
        <v>0</v>
      </c>
      <c r="BK36" s="63">
        <f t="shared" si="139"/>
        <v>0</v>
      </c>
      <c r="BL36" s="250"/>
      <c r="BM36" s="1" t="str">
        <f>IFERROR(IF(AND(VALUE(BH36)&gt;=VALUE(BI36),VALUE(BI36)&gt;=VALUE(BJ36)),"",1),"")</f>
        <v/>
      </c>
    </row>
    <row r="37" spans="2:65" ht="29.25" customHeight="1">
      <c r="C37" s="281" t="s">
        <v>356</v>
      </c>
      <c r="D37" s="22" t="s">
        <v>349</v>
      </c>
      <c r="E37" s="74" t="s">
        <v>350</v>
      </c>
      <c r="F37" s="91"/>
      <c r="G37" s="91"/>
      <c r="H37" s="63">
        <f t="shared" si="120"/>
        <v>0</v>
      </c>
      <c r="I37" s="63">
        <f t="shared" si="121"/>
        <v>0</v>
      </c>
      <c r="J37" s="250"/>
      <c r="K37" s="1" t="str">
        <f>IFERROR(IF(AND(VALUE(F37)&gt;=VALUE(G37),VALUE(G37)&gt;=VALUE(H37)),"",1),"")</f>
        <v/>
      </c>
      <c r="L37" s="93"/>
      <c r="M37" s="91"/>
      <c r="N37" s="63">
        <f t="shared" si="122"/>
        <v>0</v>
      </c>
      <c r="O37" s="64">
        <f t="shared" si="123"/>
        <v>0</v>
      </c>
      <c r="P37" s="250"/>
      <c r="Q37" s="1" t="str">
        <f>IFERROR(IF(AND(VALUE(L37)&gt;=VALUE(M37),VALUE(M37)&gt;=VALUE(N37)),"",1),"")</f>
        <v/>
      </c>
      <c r="R37" s="93"/>
      <c r="S37" s="91"/>
      <c r="T37" s="63">
        <f t="shared" si="124"/>
        <v>0</v>
      </c>
      <c r="U37" s="63">
        <f t="shared" si="125"/>
        <v>0</v>
      </c>
      <c r="V37" s="250"/>
      <c r="W37" s="1" t="str">
        <f>IFERROR(IF(AND(VALUE(R37)&gt;=VALUE(S37),VALUE(S37)&gt;=VALUE(T37)),"",1),"")</f>
        <v/>
      </c>
      <c r="X37" s="93"/>
      <c r="Y37" s="91"/>
      <c r="Z37" s="63">
        <f t="shared" si="126"/>
        <v>0</v>
      </c>
      <c r="AA37" s="63">
        <f t="shared" si="127"/>
        <v>0</v>
      </c>
      <c r="AB37" s="250"/>
      <c r="AC37" s="1" t="str">
        <f>IFERROR(IF(AND(VALUE(X37)&gt;=VALUE(Y37),VALUE(Y37)&gt;=VALUE(Z37)),"",1),"")</f>
        <v/>
      </c>
      <c r="AD37" s="93"/>
      <c r="AE37" s="91"/>
      <c r="AF37" s="63">
        <f t="shared" si="128"/>
        <v>0</v>
      </c>
      <c r="AG37" s="63">
        <f t="shared" si="129"/>
        <v>0</v>
      </c>
      <c r="AH37" s="250"/>
      <c r="AI37" s="1" t="str">
        <f>IFERROR(IF(AND(VALUE(AD37)&gt;=VALUE(AE37),VALUE(AE37)&gt;=VALUE(AF37)),"",1),"")</f>
        <v/>
      </c>
      <c r="AJ37" s="93"/>
      <c r="AK37" s="91"/>
      <c r="AL37" s="63">
        <f t="shared" si="130"/>
        <v>0</v>
      </c>
      <c r="AM37" s="63">
        <f t="shared" si="131"/>
        <v>0</v>
      </c>
      <c r="AN37" s="250"/>
      <c r="AO37" s="1" t="str">
        <f>IFERROR(IF(AND(VALUE(AJ37)&gt;=VALUE(AK37),VALUE(AK37)&gt;=VALUE(AL37)),"",1),"")</f>
        <v/>
      </c>
      <c r="AP37" s="93"/>
      <c r="AQ37" s="91"/>
      <c r="AR37" s="63">
        <f t="shared" si="132"/>
        <v>0</v>
      </c>
      <c r="AS37" s="63">
        <f t="shared" si="133"/>
        <v>0</v>
      </c>
      <c r="AT37" s="250"/>
      <c r="AU37" s="1" t="str">
        <f>IFERROR(IF(AND(VALUE(AP37)&gt;=VALUE(AQ37),VALUE(AQ37)&gt;=VALUE(AR37)),"",1),"")</f>
        <v/>
      </c>
      <c r="AV37" s="93"/>
      <c r="AW37" s="91"/>
      <c r="AX37" s="63">
        <f t="shared" si="134"/>
        <v>0</v>
      </c>
      <c r="AY37" s="63">
        <f t="shared" si="135"/>
        <v>0</v>
      </c>
      <c r="AZ37" s="250"/>
      <c r="BA37" s="1" t="str">
        <f>IFERROR(IF(AND(VALUE(AV37)&gt;=VALUE(AW37),VALUE(AW37)&gt;=VALUE(AX37)),"",1),"")</f>
        <v/>
      </c>
      <c r="BB37" s="93"/>
      <c r="BC37" s="91"/>
      <c r="BD37" s="63">
        <f t="shared" si="136"/>
        <v>0</v>
      </c>
      <c r="BE37" s="63">
        <f t="shared" si="137"/>
        <v>0</v>
      </c>
      <c r="BF37" s="250"/>
      <c r="BG37" s="1" t="str">
        <f>IFERROR(IF(AND(VALUE(BB37)&gt;=VALUE(BC37),VALUE(BC37)&gt;=VALUE(BD37)),"",1),"")</f>
        <v/>
      </c>
      <c r="BH37" s="93"/>
      <c r="BI37" s="91"/>
      <c r="BJ37" s="63">
        <f t="shared" si="138"/>
        <v>0</v>
      </c>
      <c r="BK37" s="63">
        <f t="shared" si="139"/>
        <v>0</v>
      </c>
      <c r="BL37" s="250"/>
      <c r="BM37" s="1" t="str">
        <f>IFERROR(IF(AND(VALUE(BH37)&gt;=VALUE(BI37),VALUE(BI37)&gt;=VALUE(BJ37)),"",1),"")</f>
        <v/>
      </c>
    </row>
    <row r="38" spans="2:65" ht="29.25" customHeight="1">
      <c r="C38" s="282" t="s">
        <v>356</v>
      </c>
      <c r="D38" s="86" t="s">
        <v>351</v>
      </c>
      <c r="E38" s="79" t="s">
        <v>352</v>
      </c>
      <c r="F38" s="13">
        <f>SUM(F35:F37)</f>
        <v>0</v>
      </c>
      <c r="G38" s="13">
        <f>SUM(G35:G37)</f>
        <v>0</v>
      </c>
      <c r="H38" s="13">
        <f>SUM(H35:H37)</f>
        <v>0</v>
      </c>
      <c r="I38" s="13">
        <f>SUM(I35:I37)</f>
        <v>0</v>
      </c>
      <c r="J38" s="252"/>
      <c r="L38" s="80">
        <f>SUM(L35:L37)</f>
        <v>0</v>
      </c>
      <c r="M38" s="13">
        <f>SUM(M35:M37)</f>
        <v>0</v>
      </c>
      <c r="N38" s="63">
        <f>SUM(N35:N37)</f>
        <v>0</v>
      </c>
      <c r="O38" s="63">
        <f>SUM(O35:O37)</f>
        <v>0</v>
      </c>
      <c r="P38" s="253"/>
      <c r="R38" s="80">
        <f>SUM(R35:R37)</f>
        <v>0</v>
      </c>
      <c r="S38" s="13">
        <f>SUM(S35:S37)</f>
        <v>0</v>
      </c>
      <c r="T38" s="63">
        <f>SUM(T35:T37)</f>
        <v>0</v>
      </c>
      <c r="U38" s="63">
        <f>SUM(U35:U37)</f>
        <v>0</v>
      </c>
      <c r="V38" s="253"/>
      <c r="X38" s="80">
        <f>SUM(X35:X37)</f>
        <v>0</v>
      </c>
      <c r="Y38" s="13">
        <f>SUM(Y35:Y37)</f>
        <v>0</v>
      </c>
      <c r="Z38" s="63">
        <f>SUM(Z35:Z37)</f>
        <v>0</v>
      </c>
      <c r="AA38" s="63">
        <f>SUM(AA35:AA37)</f>
        <v>0</v>
      </c>
      <c r="AB38" s="253"/>
      <c r="AD38" s="80">
        <f>SUM(AD35:AD37)</f>
        <v>0</v>
      </c>
      <c r="AE38" s="13">
        <f>SUM(AE35:AE37)</f>
        <v>0</v>
      </c>
      <c r="AF38" s="63">
        <f>SUM(AF35:AF37)</f>
        <v>0</v>
      </c>
      <c r="AG38" s="63">
        <f>SUM(AG35:AG37)</f>
        <v>0</v>
      </c>
      <c r="AH38" s="253"/>
      <c r="AJ38" s="80">
        <f>SUM(AJ35:AJ37)</f>
        <v>0</v>
      </c>
      <c r="AK38" s="13">
        <f>SUM(AK35:AK37)</f>
        <v>0</v>
      </c>
      <c r="AL38" s="63">
        <f>SUM(AL35:AL37)</f>
        <v>0</v>
      </c>
      <c r="AM38" s="63">
        <f>SUM(AM35:AM37)</f>
        <v>0</v>
      </c>
      <c r="AN38" s="253"/>
      <c r="AP38" s="80">
        <f>SUM(AP35:AP37)</f>
        <v>0</v>
      </c>
      <c r="AQ38" s="13">
        <f>SUM(AQ35:AQ37)</f>
        <v>0</v>
      </c>
      <c r="AR38" s="63">
        <f>SUM(AR35:AR37)</f>
        <v>0</v>
      </c>
      <c r="AS38" s="63">
        <f>SUM(AS35:AS37)</f>
        <v>0</v>
      </c>
      <c r="AT38" s="253"/>
      <c r="AV38" s="80">
        <f>SUM(AV35:AV37)</f>
        <v>0</v>
      </c>
      <c r="AW38" s="13">
        <f>SUM(AW35:AW37)</f>
        <v>0</v>
      </c>
      <c r="AX38" s="63">
        <f>SUM(AX35:AX37)</f>
        <v>0</v>
      </c>
      <c r="AY38" s="63">
        <f>SUM(AY35:AY37)</f>
        <v>0</v>
      </c>
      <c r="AZ38" s="253"/>
      <c r="BB38" s="80">
        <f>SUM(BB35:BB37)</f>
        <v>0</v>
      </c>
      <c r="BC38" s="13">
        <f>SUM(BC35:BC37)</f>
        <v>0</v>
      </c>
      <c r="BD38" s="63">
        <f>SUM(BD35:BD37)</f>
        <v>0</v>
      </c>
      <c r="BE38" s="63">
        <f>SUM(BE35:BE37)</f>
        <v>0</v>
      </c>
      <c r="BF38" s="253"/>
      <c r="BH38" s="80">
        <f>SUM(BH35:BH37)</f>
        <v>0</v>
      </c>
      <c r="BI38" s="13">
        <f>SUM(BI35:BI37)</f>
        <v>0</v>
      </c>
      <c r="BJ38" s="63">
        <f>SUM(BJ35:BJ37)</f>
        <v>0</v>
      </c>
      <c r="BK38" s="63">
        <f>SUM(BK35:BK37)</f>
        <v>0</v>
      </c>
      <c r="BL38" s="253"/>
    </row>
    <row r="41" spans="2:65" ht="20.100000000000001">
      <c r="B41" s="17" t="s">
        <v>357</v>
      </c>
      <c r="J41" s="3" t="s">
        <v>327</v>
      </c>
    </row>
    <row r="42" spans="2:65">
      <c r="F42" s="122" t="str">
        <f>$F$13</f>
        <v>事業者名：</v>
      </c>
      <c r="G42" s="123"/>
      <c r="H42" s="123"/>
      <c r="I42" s="208"/>
      <c r="J42" s="124"/>
    </row>
    <row r="43" spans="2:65" ht="36">
      <c r="B43" s="2"/>
      <c r="C43" s="67" t="s">
        <v>328</v>
      </c>
      <c r="D43" s="68" t="s">
        <v>329</v>
      </c>
      <c r="E43" s="69"/>
      <c r="F43" s="70" t="s">
        <v>330</v>
      </c>
      <c r="G43" s="70" t="s">
        <v>331</v>
      </c>
      <c r="H43" s="70" t="s">
        <v>332</v>
      </c>
      <c r="I43" s="209" t="s">
        <v>333</v>
      </c>
      <c r="J43" s="71" t="s">
        <v>334</v>
      </c>
    </row>
    <row r="44" spans="2:65" ht="28.5" customHeight="1">
      <c r="C44" s="73" t="s">
        <v>344</v>
      </c>
      <c r="D44" s="22" t="s">
        <v>345</v>
      </c>
      <c r="E44" s="74" t="s">
        <v>346</v>
      </c>
      <c r="F44" s="75">
        <f t="shared" ref="F44:I46" si="140">SUM(F19,L19,R19,X19,AD19,AJ19,AP19,AV19,BB19,BH19)</f>
        <v>0</v>
      </c>
      <c r="G44" s="75">
        <f t="shared" si="140"/>
        <v>0</v>
      </c>
      <c r="H44" s="293">
        <f t="shared" si="140"/>
        <v>0</v>
      </c>
      <c r="I44" s="293">
        <f t="shared" si="140"/>
        <v>0</v>
      </c>
      <c r="J44" s="288" t="str">
        <f t="shared" ref="J44:J63" si="141">J19&amp;""</f>
        <v/>
      </c>
    </row>
    <row r="45" spans="2:65" ht="28.5" customHeight="1">
      <c r="C45" s="76" t="s">
        <v>344</v>
      </c>
      <c r="D45" s="22" t="s">
        <v>347</v>
      </c>
      <c r="E45" s="74" t="s">
        <v>348</v>
      </c>
      <c r="F45" s="75">
        <f t="shared" si="140"/>
        <v>0</v>
      </c>
      <c r="G45" s="75">
        <f t="shared" si="140"/>
        <v>0</v>
      </c>
      <c r="H45" s="75">
        <f t="shared" si="140"/>
        <v>0</v>
      </c>
      <c r="I45" s="75">
        <f t="shared" si="140"/>
        <v>0</v>
      </c>
      <c r="J45" s="288" t="str">
        <f t="shared" si="141"/>
        <v/>
      </c>
    </row>
    <row r="46" spans="2:65" ht="28.5" customHeight="1">
      <c r="C46" s="76" t="s">
        <v>344</v>
      </c>
      <c r="D46" s="22" t="s">
        <v>349</v>
      </c>
      <c r="E46" s="74" t="s">
        <v>350</v>
      </c>
      <c r="F46" s="75">
        <f t="shared" si="140"/>
        <v>0</v>
      </c>
      <c r="G46" s="75">
        <f t="shared" si="140"/>
        <v>0</v>
      </c>
      <c r="H46" s="75">
        <f t="shared" si="140"/>
        <v>0</v>
      </c>
      <c r="I46" s="75">
        <f t="shared" si="140"/>
        <v>0</v>
      </c>
      <c r="J46" s="288" t="str">
        <f t="shared" si="141"/>
        <v/>
      </c>
    </row>
    <row r="47" spans="2:65" ht="28.5" customHeight="1">
      <c r="C47" s="77" t="s">
        <v>344</v>
      </c>
      <c r="D47" s="78" t="s">
        <v>351</v>
      </c>
      <c r="E47" s="79" t="s">
        <v>352</v>
      </c>
      <c r="F47" s="13">
        <f>SUM(F44:F46)</f>
        <v>0</v>
      </c>
      <c r="G47" s="13">
        <f>SUM(G44:G46)</f>
        <v>0</v>
      </c>
      <c r="H47" s="13">
        <f>SUM(H44:H46)</f>
        <v>0</v>
      </c>
      <c r="I47" s="13">
        <f>SUM(I44:I46)</f>
        <v>0</v>
      </c>
      <c r="J47" s="289" t="str">
        <f t="shared" si="141"/>
        <v/>
      </c>
    </row>
    <row r="48" spans="2:65" ht="28.5" customHeight="1">
      <c r="C48" s="73" t="s">
        <v>353</v>
      </c>
      <c r="D48" s="22" t="s">
        <v>345</v>
      </c>
      <c r="E48" s="74" t="s">
        <v>346</v>
      </c>
      <c r="F48" s="75">
        <f t="shared" ref="F48:I50" si="142">SUM(F23,L23,R23,X23,AD23,AJ23,AP23,AV23,BB23,BH23)</f>
        <v>0</v>
      </c>
      <c r="G48" s="75">
        <f t="shared" si="142"/>
        <v>0</v>
      </c>
      <c r="H48" s="293">
        <f t="shared" si="142"/>
        <v>0</v>
      </c>
      <c r="I48" s="293">
        <f t="shared" si="142"/>
        <v>0</v>
      </c>
      <c r="J48" s="288" t="str">
        <f t="shared" si="141"/>
        <v/>
      </c>
    </row>
    <row r="49" spans="3:10" ht="28.5" customHeight="1">
      <c r="C49" s="76" t="s">
        <v>353</v>
      </c>
      <c r="D49" s="22" t="s">
        <v>347</v>
      </c>
      <c r="E49" s="74" t="s">
        <v>348</v>
      </c>
      <c r="F49" s="75">
        <f t="shared" si="142"/>
        <v>0</v>
      </c>
      <c r="G49" s="75">
        <f t="shared" si="142"/>
        <v>0</v>
      </c>
      <c r="H49" s="75">
        <f t="shared" si="142"/>
        <v>0</v>
      </c>
      <c r="I49" s="75">
        <f t="shared" si="142"/>
        <v>0</v>
      </c>
      <c r="J49" s="288" t="str">
        <f t="shared" si="141"/>
        <v/>
      </c>
    </row>
    <row r="50" spans="3:10" ht="28.5" customHeight="1">
      <c r="C50" s="76" t="s">
        <v>353</v>
      </c>
      <c r="D50" s="22" t="s">
        <v>349</v>
      </c>
      <c r="E50" s="74" t="s">
        <v>350</v>
      </c>
      <c r="F50" s="75">
        <f t="shared" si="142"/>
        <v>0</v>
      </c>
      <c r="G50" s="75">
        <f t="shared" si="142"/>
        <v>0</v>
      </c>
      <c r="H50" s="75">
        <f t="shared" si="142"/>
        <v>0</v>
      </c>
      <c r="I50" s="75">
        <f t="shared" si="142"/>
        <v>0</v>
      </c>
      <c r="J50" s="288" t="str">
        <f t="shared" si="141"/>
        <v/>
      </c>
    </row>
    <row r="51" spans="3:10" ht="28.5" customHeight="1">
      <c r="C51" s="77" t="s">
        <v>353</v>
      </c>
      <c r="D51" s="78" t="s">
        <v>351</v>
      </c>
      <c r="E51" s="79" t="s">
        <v>352</v>
      </c>
      <c r="F51" s="13">
        <f>SUM(F48:F50)</f>
        <v>0</v>
      </c>
      <c r="G51" s="13">
        <f>SUM(G48:G50)</f>
        <v>0</v>
      </c>
      <c r="H51" s="13">
        <f>SUM(H48:H50)</f>
        <v>0</v>
      </c>
      <c r="I51" s="13">
        <f>SUM(I48:I50)</f>
        <v>0</v>
      </c>
      <c r="J51" s="289" t="str">
        <f t="shared" si="141"/>
        <v/>
      </c>
    </row>
    <row r="52" spans="3:10" ht="28.5" customHeight="1">
      <c r="C52" s="73" t="s">
        <v>354</v>
      </c>
      <c r="D52" s="22" t="s">
        <v>345</v>
      </c>
      <c r="E52" s="74" t="s">
        <v>346</v>
      </c>
      <c r="F52" s="75">
        <f t="shared" ref="F52:I54" si="143">SUM(F27,L27,R27,X27,AD27,AJ27,AP27,AV27,BB27,BH27)</f>
        <v>0</v>
      </c>
      <c r="G52" s="75">
        <f t="shared" si="143"/>
        <v>0</v>
      </c>
      <c r="H52" s="293">
        <f t="shared" si="143"/>
        <v>0</v>
      </c>
      <c r="I52" s="293">
        <f t="shared" si="143"/>
        <v>0</v>
      </c>
      <c r="J52" s="288" t="str">
        <f t="shared" si="141"/>
        <v/>
      </c>
    </row>
    <row r="53" spans="3:10" ht="28.5" customHeight="1">
      <c r="C53" s="76" t="s">
        <v>354</v>
      </c>
      <c r="D53" s="22" t="s">
        <v>347</v>
      </c>
      <c r="E53" s="74" t="s">
        <v>348</v>
      </c>
      <c r="F53" s="75">
        <f t="shared" si="143"/>
        <v>0</v>
      </c>
      <c r="G53" s="75">
        <f t="shared" si="143"/>
        <v>0</v>
      </c>
      <c r="H53" s="75">
        <f t="shared" si="143"/>
        <v>0</v>
      </c>
      <c r="I53" s="75">
        <f t="shared" si="143"/>
        <v>0</v>
      </c>
      <c r="J53" s="288" t="str">
        <f t="shared" si="141"/>
        <v/>
      </c>
    </row>
    <row r="54" spans="3:10" ht="28.5" customHeight="1">
      <c r="C54" s="76" t="s">
        <v>354</v>
      </c>
      <c r="D54" s="22" t="s">
        <v>349</v>
      </c>
      <c r="E54" s="74" t="s">
        <v>350</v>
      </c>
      <c r="F54" s="75">
        <f t="shared" si="143"/>
        <v>0</v>
      </c>
      <c r="G54" s="75">
        <f t="shared" si="143"/>
        <v>0</v>
      </c>
      <c r="H54" s="75">
        <f t="shared" si="143"/>
        <v>0</v>
      </c>
      <c r="I54" s="75">
        <f t="shared" si="143"/>
        <v>0</v>
      </c>
      <c r="J54" s="288" t="str">
        <f t="shared" si="141"/>
        <v/>
      </c>
    </row>
    <row r="55" spans="3:10" ht="28.5" customHeight="1">
      <c r="C55" s="77" t="s">
        <v>354</v>
      </c>
      <c r="D55" s="78" t="s">
        <v>351</v>
      </c>
      <c r="E55" s="79" t="s">
        <v>352</v>
      </c>
      <c r="F55" s="13">
        <f>SUM(F52:F54)</f>
        <v>0</v>
      </c>
      <c r="G55" s="13">
        <f>SUM(G52:G54)</f>
        <v>0</v>
      </c>
      <c r="H55" s="13">
        <f>SUM(H52:H54)</f>
        <v>0</v>
      </c>
      <c r="I55" s="13">
        <f>SUM(I52:I54)</f>
        <v>0</v>
      </c>
      <c r="J55" s="289" t="str">
        <f t="shared" si="141"/>
        <v/>
      </c>
    </row>
    <row r="56" spans="3:10" ht="28.5" customHeight="1">
      <c r="C56" s="73" t="s">
        <v>355</v>
      </c>
      <c r="D56" s="22" t="s">
        <v>345</v>
      </c>
      <c r="E56" s="74" t="s">
        <v>346</v>
      </c>
      <c r="F56" s="75">
        <f t="shared" ref="F56:I58" si="144">SUM(F31,L31,R31,X31,AD31,AJ31,AP31,AV31,BB31,BH31)</f>
        <v>0</v>
      </c>
      <c r="G56" s="75">
        <f t="shared" si="144"/>
        <v>0</v>
      </c>
      <c r="H56" s="293">
        <f t="shared" si="144"/>
        <v>0</v>
      </c>
      <c r="I56" s="293">
        <f t="shared" si="144"/>
        <v>0</v>
      </c>
      <c r="J56" s="288" t="str">
        <f t="shared" si="141"/>
        <v/>
      </c>
    </row>
    <row r="57" spans="3:10" ht="28.5" customHeight="1">
      <c r="C57" s="76" t="s">
        <v>355</v>
      </c>
      <c r="D57" s="22" t="s">
        <v>347</v>
      </c>
      <c r="E57" s="74" t="s">
        <v>348</v>
      </c>
      <c r="F57" s="75">
        <f t="shared" si="144"/>
        <v>0</v>
      </c>
      <c r="G57" s="75">
        <f t="shared" si="144"/>
        <v>0</v>
      </c>
      <c r="H57" s="75">
        <f t="shared" si="144"/>
        <v>0</v>
      </c>
      <c r="I57" s="75">
        <f t="shared" si="144"/>
        <v>0</v>
      </c>
      <c r="J57" s="288" t="str">
        <f t="shared" si="141"/>
        <v/>
      </c>
    </row>
    <row r="58" spans="3:10" ht="28.5" customHeight="1">
      <c r="C58" s="76" t="s">
        <v>355</v>
      </c>
      <c r="D58" s="22" t="s">
        <v>349</v>
      </c>
      <c r="E58" s="74" t="s">
        <v>350</v>
      </c>
      <c r="F58" s="75">
        <f t="shared" si="144"/>
        <v>0</v>
      </c>
      <c r="G58" s="75">
        <f t="shared" si="144"/>
        <v>0</v>
      </c>
      <c r="H58" s="75">
        <f t="shared" si="144"/>
        <v>0</v>
      </c>
      <c r="I58" s="75">
        <f t="shared" si="144"/>
        <v>0</v>
      </c>
      <c r="J58" s="288" t="str">
        <f t="shared" si="141"/>
        <v/>
      </c>
    </row>
    <row r="59" spans="3:10" ht="28.5" customHeight="1">
      <c r="C59" s="77" t="s">
        <v>355</v>
      </c>
      <c r="D59" s="78" t="s">
        <v>351</v>
      </c>
      <c r="E59" s="79" t="s">
        <v>352</v>
      </c>
      <c r="F59" s="13">
        <f>SUM(F56:F58)</f>
        <v>0</v>
      </c>
      <c r="G59" s="13">
        <f>SUM(G56:G58)</f>
        <v>0</v>
      </c>
      <c r="H59" s="13">
        <f>SUM(H56:H58)</f>
        <v>0</v>
      </c>
      <c r="I59" s="13">
        <f>SUM(I56:I58)</f>
        <v>0</v>
      </c>
      <c r="J59" s="289" t="str">
        <f t="shared" si="141"/>
        <v/>
      </c>
    </row>
    <row r="60" spans="3:10" ht="28.5" customHeight="1">
      <c r="C60" s="73" t="s">
        <v>356</v>
      </c>
      <c r="D60" s="22" t="s">
        <v>345</v>
      </c>
      <c r="E60" s="74" t="s">
        <v>346</v>
      </c>
      <c r="F60" s="75">
        <f t="shared" ref="F60:I62" si="145">SUM(F35,L35,R35,X35,AD35,AJ35,AP35,AV35,BB35,BH35)</f>
        <v>0</v>
      </c>
      <c r="G60" s="75">
        <f t="shared" si="145"/>
        <v>0</v>
      </c>
      <c r="H60" s="293">
        <f t="shared" si="145"/>
        <v>0</v>
      </c>
      <c r="I60" s="293">
        <f t="shared" si="145"/>
        <v>0</v>
      </c>
      <c r="J60" s="290" t="str">
        <f t="shared" si="141"/>
        <v/>
      </c>
    </row>
    <row r="61" spans="3:10" ht="28.5" customHeight="1">
      <c r="C61" s="76" t="s">
        <v>356</v>
      </c>
      <c r="D61" s="22" t="s">
        <v>347</v>
      </c>
      <c r="E61" s="74" t="s">
        <v>348</v>
      </c>
      <c r="F61" s="75">
        <f t="shared" si="145"/>
        <v>0</v>
      </c>
      <c r="G61" s="75">
        <f t="shared" si="145"/>
        <v>0</v>
      </c>
      <c r="H61" s="75">
        <f t="shared" si="145"/>
        <v>0</v>
      </c>
      <c r="I61" s="75">
        <f t="shared" si="145"/>
        <v>0</v>
      </c>
      <c r="J61" s="288" t="str">
        <f t="shared" si="141"/>
        <v/>
      </c>
    </row>
    <row r="62" spans="3:10" ht="28.5" customHeight="1">
      <c r="C62" s="76" t="s">
        <v>356</v>
      </c>
      <c r="D62" s="22" t="s">
        <v>349</v>
      </c>
      <c r="E62" s="74" t="s">
        <v>350</v>
      </c>
      <c r="F62" s="75">
        <f t="shared" si="145"/>
        <v>0</v>
      </c>
      <c r="G62" s="75">
        <f t="shared" si="145"/>
        <v>0</v>
      </c>
      <c r="H62" s="75">
        <f t="shared" si="145"/>
        <v>0</v>
      </c>
      <c r="I62" s="75">
        <f t="shared" si="145"/>
        <v>0</v>
      </c>
      <c r="J62" s="288" t="str">
        <f t="shared" si="141"/>
        <v/>
      </c>
    </row>
    <row r="63" spans="3:10" ht="28.5" customHeight="1">
      <c r="C63" s="81" t="s">
        <v>356</v>
      </c>
      <c r="D63" s="82" t="s">
        <v>351</v>
      </c>
      <c r="E63" s="105" t="s">
        <v>352</v>
      </c>
      <c r="F63" s="13">
        <f>SUM(F60:F62)</f>
        <v>0</v>
      </c>
      <c r="G63" s="13">
        <f>SUM(G60:G62)</f>
        <v>0</v>
      </c>
      <c r="H63" s="13">
        <f>SUM(H60:H62)</f>
        <v>0</v>
      </c>
      <c r="I63" s="13">
        <f>SUM(I60:I62)</f>
        <v>0</v>
      </c>
      <c r="J63" s="291" t="str">
        <f t="shared" si="141"/>
        <v/>
      </c>
    </row>
    <row r="64" spans="3:10" ht="28.5" customHeight="1">
      <c r="C64" s="83" t="s">
        <v>335</v>
      </c>
      <c r="D64" s="84" t="s">
        <v>345</v>
      </c>
      <c r="E64" s="104" t="s">
        <v>346</v>
      </c>
      <c r="F64" s="85">
        <f t="shared" ref="F64:H66" si="146">SUM(F44,F48,F52,F56,F60)</f>
        <v>0</v>
      </c>
      <c r="G64" s="85">
        <f t="shared" si="146"/>
        <v>0</v>
      </c>
      <c r="H64" s="277"/>
      <c r="I64" s="277"/>
      <c r="J64" s="292" t="str">
        <f>J15&amp;""</f>
        <v/>
      </c>
    </row>
    <row r="65" spans="2:10" ht="28.5" customHeight="1">
      <c r="C65" s="76" t="s">
        <v>335</v>
      </c>
      <c r="D65" s="86" t="s">
        <v>347</v>
      </c>
      <c r="E65" s="79" t="s">
        <v>348</v>
      </c>
      <c r="F65" s="13">
        <f>SUM(F45,F49,F53,F57,F61)</f>
        <v>0</v>
      </c>
      <c r="G65" s="13">
        <f t="shared" si="146"/>
        <v>0</v>
      </c>
      <c r="H65" s="13">
        <f>SUM(H44,H48,H52,H56,H60)+SUM(H45,H49,H53,H57,H61)</f>
        <v>0</v>
      </c>
      <c r="I65" s="13">
        <f>SUM(I44,I48,I52,I56,I60)+SUM(I45,I49,I53,I57,I61)</f>
        <v>0</v>
      </c>
      <c r="J65" s="289" t="str">
        <f>J16&amp;""</f>
        <v/>
      </c>
    </row>
    <row r="66" spans="2:10" ht="28.5" customHeight="1">
      <c r="C66" s="76" t="s">
        <v>335</v>
      </c>
      <c r="D66" s="86" t="s">
        <v>349</v>
      </c>
      <c r="E66" s="79" t="s">
        <v>350</v>
      </c>
      <c r="F66" s="13">
        <f t="shared" si="146"/>
        <v>0</v>
      </c>
      <c r="G66" s="13">
        <f t="shared" si="146"/>
        <v>0</v>
      </c>
      <c r="H66" s="13">
        <f t="shared" si="146"/>
        <v>0</v>
      </c>
      <c r="I66" s="13">
        <f t="shared" ref="I66" si="147">SUM(I46,I50,I54,I58,I62)</f>
        <v>0</v>
      </c>
      <c r="J66" s="289" t="str">
        <f>J17&amp;""</f>
        <v/>
      </c>
    </row>
    <row r="67" spans="2:10" ht="28.5" customHeight="1">
      <c r="C67" s="77" t="s">
        <v>335</v>
      </c>
      <c r="D67" s="87" t="s">
        <v>351</v>
      </c>
      <c r="E67" s="88" t="s">
        <v>352</v>
      </c>
      <c r="F67" s="89">
        <f>SUM(F64:F66)</f>
        <v>0</v>
      </c>
      <c r="G67" s="89">
        <f>SUM(G64:G66)</f>
        <v>0</v>
      </c>
      <c r="H67" s="89">
        <f>SUM(H64:H66)</f>
        <v>0</v>
      </c>
      <c r="I67" s="89">
        <f>SUM(I64:I66)</f>
        <v>0</v>
      </c>
      <c r="J67" s="254" t="str">
        <f>J18&amp;""</f>
        <v/>
      </c>
    </row>
    <row r="68" spans="2:10" ht="29.25" customHeight="1">
      <c r="C68" s="100" t="s">
        <v>358</v>
      </c>
      <c r="D68" s="101"/>
      <c r="E68" s="102"/>
      <c r="F68" s="98"/>
      <c r="G68" s="98">
        <f>SUM(G47,G51,G55)</f>
        <v>0</v>
      </c>
      <c r="H68" s="98"/>
      <c r="I68" s="98"/>
      <c r="J68" s="99"/>
    </row>
    <row r="69" spans="2:10">
      <c r="G69" s="95"/>
    </row>
    <row r="70" spans="2:10">
      <c r="G70" s="95"/>
    </row>
    <row r="71" spans="2:10">
      <c r="B71" s="1" t="s">
        <v>359</v>
      </c>
    </row>
    <row r="72" spans="2:10">
      <c r="C72" s="1" t="s">
        <v>360</v>
      </c>
    </row>
    <row r="73" spans="2:10">
      <c r="C73" s="26" t="s">
        <v>361</v>
      </c>
      <c r="D73" s="26">
        <f>IF(SUM(G22,G26,G30)&gt;=500000000,1,0)</f>
        <v>0</v>
      </c>
    </row>
    <row r="74" spans="2:10">
      <c r="C74" s="26" t="s">
        <v>362</v>
      </c>
      <c r="D74" s="26">
        <f>IF(SUM(M22,M26,M30)&gt;=500000000,1,0)</f>
        <v>0</v>
      </c>
    </row>
    <row r="75" spans="2:10">
      <c r="C75" s="26" t="s">
        <v>363</v>
      </c>
      <c r="D75" s="26">
        <f>IF(SUM(S22,S26,S30)&gt;=500000000,1,0)</f>
        <v>0</v>
      </c>
    </row>
    <row r="76" spans="2:10">
      <c r="C76" s="26" t="s">
        <v>364</v>
      </c>
      <c r="D76" s="26">
        <f>IF(SUM(Y22,Y26,Y30)&gt;=500000000,1,0)</f>
        <v>0</v>
      </c>
    </row>
    <row r="77" spans="2:10">
      <c r="C77" s="26" t="s">
        <v>365</v>
      </c>
      <c r="D77" s="26">
        <f>IF(SUM(AE22,AE26,AE30)&gt;=500000000,1,0)</f>
        <v>0</v>
      </c>
    </row>
    <row r="78" spans="2:10">
      <c r="C78" s="26" t="s">
        <v>366</v>
      </c>
      <c r="D78" s="26">
        <f>IF(SUM(AK22,AK26,AK30)&gt;=500000000,1,0)</f>
        <v>0</v>
      </c>
    </row>
    <row r="79" spans="2:10">
      <c r="C79" s="26" t="s">
        <v>367</v>
      </c>
      <c r="D79" s="26">
        <f>IF(SUM(AQ22,AQ26,AQ30)&gt;=500000000,1,0)</f>
        <v>0</v>
      </c>
    </row>
    <row r="80" spans="2:10">
      <c r="C80" s="26" t="s">
        <v>368</v>
      </c>
      <c r="D80" s="26">
        <f>IF(SUM(AW22,AW26,AW30)&gt;=500000000,1,0)</f>
        <v>0</v>
      </c>
    </row>
    <row r="81" spans="2:4">
      <c r="C81" s="26" t="s">
        <v>369</v>
      </c>
      <c r="D81" s="26">
        <f>IF(SUM(BC22,BC26,BC30)&gt;=500000000,1,0)</f>
        <v>0</v>
      </c>
    </row>
    <row r="82" spans="2:4">
      <c r="C82" s="26" t="s">
        <v>370</v>
      </c>
      <c r="D82" s="26">
        <f>IF(SUM(BI22,BI26,BI30)&gt;=500000000,1,0)</f>
        <v>0</v>
      </c>
    </row>
    <row r="83" spans="2:4">
      <c r="C83" s="31" t="s">
        <v>371</v>
      </c>
      <c r="D83" s="31">
        <f>SUM(D73:D82)</f>
        <v>0</v>
      </c>
    </row>
    <row r="85" spans="2:4">
      <c r="B85" s="1" t="s">
        <v>314</v>
      </c>
    </row>
    <row r="86" spans="2:4">
      <c r="C86" s="1" t="s">
        <v>372</v>
      </c>
    </row>
    <row r="87" spans="2:4">
      <c r="C87" s="26" t="s">
        <v>361</v>
      </c>
      <c r="D87" s="26">
        <f>SUM(K$19:K$37)</f>
        <v>0</v>
      </c>
    </row>
    <row r="88" spans="2:4">
      <c r="C88" s="26" t="s">
        <v>362</v>
      </c>
      <c r="D88" s="26">
        <f>SUM(Q$19:Q$37)</f>
        <v>0</v>
      </c>
    </row>
    <row r="89" spans="2:4">
      <c r="C89" s="26" t="s">
        <v>363</v>
      </c>
      <c r="D89" s="26">
        <f>SUM(W$19:W$37)</f>
        <v>0</v>
      </c>
    </row>
    <row r="90" spans="2:4">
      <c r="C90" s="26" t="s">
        <v>364</v>
      </c>
      <c r="D90" s="26">
        <f>SUM(AC$19:AC$37)</f>
        <v>0</v>
      </c>
    </row>
    <row r="91" spans="2:4">
      <c r="C91" s="26" t="s">
        <v>365</v>
      </c>
      <c r="D91" s="26">
        <f>SUM(AI$19:AI$37)</f>
        <v>0</v>
      </c>
    </row>
    <row r="92" spans="2:4">
      <c r="C92" s="26" t="s">
        <v>366</v>
      </c>
      <c r="D92" s="26">
        <f>SUM(AO$19:AO$37)</f>
        <v>0</v>
      </c>
    </row>
    <row r="93" spans="2:4">
      <c r="C93" s="26" t="s">
        <v>367</v>
      </c>
      <c r="D93" s="26">
        <f>SUM(AU$19:AU$37)</f>
        <v>0</v>
      </c>
    </row>
    <row r="94" spans="2:4">
      <c r="C94" s="26" t="s">
        <v>368</v>
      </c>
      <c r="D94" s="26">
        <f>SUM(BA$19:BA$37)</f>
        <v>0</v>
      </c>
    </row>
    <row r="95" spans="2:4">
      <c r="C95" s="26" t="s">
        <v>369</v>
      </c>
      <c r="D95" s="26">
        <f>SUM(BG$19:BG$37)</f>
        <v>0</v>
      </c>
    </row>
    <row r="96" spans="2:4">
      <c r="C96" s="26" t="s">
        <v>370</v>
      </c>
      <c r="D96" s="26">
        <f>SUM(BM$19:BM$37)</f>
        <v>0</v>
      </c>
    </row>
  </sheetData>
  <sheetProtection algorithmName="SHA-512" hashValue="ctDO/k0DfN0H+A1q8dQVJhxEvE2bA0w2JsAhlSilHYCw/AXYtpIdRUF1Z1EYcp8SLDGCBAbDYj6DXp9truBOBA==" saltValue="NBo5W0Fzxnl+fMNGyxfrBA==" spinCount="100000" sheet="1" objects="1" scenarios="1"/>
  <phoneticPr fontId="1"/>
  <conditionalFormatting sqref="J15 P15 V15 AB15 AH15 AN15 AT15 AZ15 BF15 BL15">
    <cfRule type="expression" dxfId="17" priority="1">
      <formula>J$15&lt;&gt;""</formula>
    </cfRule>
  </conditionalFormatting>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46"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24" id="{3F5BCD0B-2BC7-46FF-8237-9EDE7CE6A364}">
            <xm:f>AND(②補助事業情報!$E$10&lt;&gt;"",②補助事業情報!$E$10&lt;=DATEVALUE("2026/3/31"))</xm:f>
            <x14:dxf>
              <fill>
                <patternFill>
                  <bgColor theme="1" tint="0.499984740745262"/>
                </patternFill>
              </fill>
            </x14:dxf>
          </x14:cfRule>
          <xm:sqref>F20:G20 J20 L20:P20 R20:V20 X20:AB20 AD20:AH20 AJ20:AN20 AP20:AT20 AV20:AZ20 BB20:BF20 BH20:BL20 F24:G24 J24 L24:P24 R24:V24 X24:AB24 AD24:AH24 AJ24:AN24 AP24:AT24 AV24:AZ24 BB24:BF24 BH24:BL24 F28:G28 J28 L28:P28 R28:V28 X28:AB28 AD28:AH28 AJ28:AN28 AP28:AT28 AV28:AZ28 BB28:BF28 BH28:BL28 F32:G32 J32 L32:P32 R32:V32 X32:AB32 AD32:AH32 AJ32:AN32 AP32:AT32 AV32:AZ32 BB32:BF32 BH32:BL32 F36:G36 J36 L36:P36 R36:V36 X36:AB36 AD36:AH36 AJ36:AN36 AP36:AT36 AV36:AZ36 BB36:BF36 BH36:BL36 F45:J45 F49:J49 F53:J53 F57:J57 F61:J61</xm:sqref>
        </x14:conditionalFormatting>
        <x14:conditionalFormatting xmlns:xm="http://schemas.microsoft.com/office/excel/2006/main">
          <x14:cfRule type="expression" priority="23" id="{0691C2E4-19FB-44AF-9BEE-7AD62F609298}">
            <xm:f>AND(②補助事業情報!$E$10&lt;&gt;"",OR(AND(②補助事業情報!$E$10&gt;=DATEVALUE("2026/4/1"),②補助事業情報!$E$10&lt;=DATEVALUE("2026/3/31")),②補助事業情報!$E$10&lt;=DATEVALUE("2027/3/31")))</xm:f>
            <x14:dxf>
              <fill>
                <patternFill>
                  <bgColor theme="1" tint="0.499984740745262"/>
                </patternFill>
              </fill>
            </x14:dxf>
          </x14:cfRule>
          <xm:sqref>F21:G21 J21 L21:P21 R21:V21 X21:AB21 AD21:AH21 AJ21:AN21 AP21:AT21 AV21:AZ21 BB21:BF21 BH21:BL21 F25:G25 J25 L25:P25 R25:V25 X25:AB25 AD25:AH25 AJ25:AN25 AP25:AT25 AV25:AZ25 BB25:BF25 BH25:BL25 F29:G29 J29 L29:P29 R29:V29 X29:AB29 AD29:AH29 AJ29:AN29 AP29:AT29 AV29:AZ29 BB29:BF29 BH29:BL29 F33:G33 J33 L33:P33 R33:V33 X33:AB33 AD33:AH33 AJ33:AN33 AP33:AT33 AV33:AZ33 BB33:BF33 BH33:BL33 F37:G37 J37 L37:P37 R37:V37 X37:AB37 AD37:AH37 AJ37:AN37 AP37:AT37 AV37:AZ37 BB37:BF37 BH37:BL37 F46:J46 F50:J50 F54:J54 F58:J58 F62:J62</xm:sqref>
        </x14:conditionalFormatting>
        <x14:conditionalFormatting xmlns:xm="http://schemas.microsoft.com/office/excel/2006/main">
          <x14:cfRule type="expression" priority="2" id="{D210FBC7-16AF-4B66-85BB-2B7BC6AD2D3E}">
            <xm:f>①申請者情報!$E$10="1/4補助率を許容しない"</xm:f>
            <x14:dxf>
              <fill>
                <patternFill>
                  <bgColor theme="1" tint="0.499984740745262"/>
                </patternFill>
              </fill>
            </x14:dxf>
          </x14:cfRule>
          <xm:sqref>I15:I38 O15:O38 U15:U38 AA15:AA38 AG15:AG38 AM15:AM38 AS15:AS38 AY15:AY38 BE15:BE38 BK15:BK38 I44:I63 I66:I67</xm:sqref>
        </x14:conditionalFormatting>
        <x14:conditionalFormatting xmlns:xm="http://schemas.microsoft.com/office/excel/2006/main">
          <x14:cfRule type="expression" priority="41" id="{0D858360-C30B-4CD8-A8B9-7BE661214F74}">
            <xm:f>①申請者情報!$E$44=""</xm:f>
            <x14:dxf>
              <fill>
                <patternFill>
                  <bgColor theme="1" tint="0.499984740745262"/>
                </patternFill>
              </fill>
            </x14:dxf>
          </x14:cfRule>
          <xm:sqref>P15 L13:P14 L15:M15 L16:P38</xm:sqref>
        </x14:conditionalFormatting>
        <x14:conditionalFormatting xmlns:xm="http://schemas.microsoft.com/office/excel/2006/main">
          <x14:cfRule type="expression" priority="22" id="{C86F0FFE-B3C3-45DD-912A-DA1F09186865}">
            <xm:f>①申請者情報!$E$47=""</xm:f>
            <x14:dxf>
              <fill>
                <patternFill>
                  <bgColor theme="1" tint="0.499984740745262"/>
                </patternFill>
              </fill>
            </x14:dxf>
          </x14:cfRule>
          <xm:sqref>R13:V38</xm:sqref>
        </x14:conditionalFormatting>
        <x14:conditionalFormatting xmlns:xm="http://schemas.microsoft.com/office/excel/2006/main">
          <x14:cfRule type="expression" priority="21" id="{9EE18BAC-5574-4EF3-9697-EF447F7CECB0}">
            <xm:f>①申請者情報!$E$50=""</xm:f>
            <x14:dxf>
              <fill>
                <patternFill>
                  <bgColor theme="1" tint="0.499984740745262"/>
                </patternFill>
              </fill>
            </x14:dxf>
          </x14:cfRule>
          <xm:sqref>X13:AB38</xm:sqref>
        </x14:conditionalFormatting>
        <x14:conditionalFormatting xmlns:xm="http://schemas.microsoft.com/office/excel/2006/main">
          <x14:cfRule type="expression" priority="20" id="{387ED9A7-CF0D-4721-A00D-7CDD299098D0}">
            <xm:f>①申請者情報!$E$53=""</xm:f>
            <x14:dxf>
              <fill>
                <patternFill>
                  <bgColor theme="1" tint="0.499984740745262"/>
                </patternFill>
              </fill>
            </x14:dxf>
          </x14:cfRule>
          <xm:sqref>AD13:AH38</xm:sqref>
        </x14:conditionalFormatting>
        <x14:conditionalFormatting xmlns:xm="http://schemas.microsoft.com/office/excel/2006/main">
          <x14:cfRule type="expression" priority="19" id="{CF4AB62B-12BB-48ED-93D4-3E6374CE7CCA}">
            <xm:f>①申請者情報!$E$56=""</xm:f>
            <x14:dxf>
              <fill>
                <patternFill>
                  <bgColor theme="1" tint="0.499984740745262"/>
                </patternFill>
              </fill>
            </x14:dxf>
          </x14:cfRule>
          <xm:sqref>AJ13:AN38</xm:sqref>
        </x14:conditionalFormatting>
        <x14:conditionalFormatting xmlns:xm="http://schemas.microsoft.com/office/excel/2006/main">
          <x14:cfRule type="expression" priority="18" id="{E68340D4-30AB-41B6-A11A-D9C8FE075A21}">
            <xm:f>①申請者情報!$E$59=""</xm:f>
            <x14:dxf>
              <fill>
                <patternFill>
                  <bgColor theme="1" tint="0.499984740745262"/>
                </patternFill>
              </fill>
            </x14:dxf>
          </x14:cfRule>
          <xm:sqref>AP13:AT38</xm:sqref>
        </x14:conditionalFormatting>
        <x14:conditionalFormatting xmlns:xm="http://schemas.microsoft.com/office/excel/2006/main">
          <x14:cfRule type="expression" priority="17" id="{7FC417FD-BF55-47A2-BC43-C1F585EB92BA}">
            <xm:f>①申請者情報!$E$62=""</xm:f>
            <x14:dxf>
              <fill>
                <patternFill>
                  <bgColor theme="1" tint="0.499984740745262"/>
                </patternFill>
              </fill>
            </x14:dxf>
          </x14:cfRule>
          <xm:sqref>AV13:AZ38</xm:sqref>
        </x14:conditionalFormatting>
        <x14:conditionalFormatting xmlns:xm="http://schemas.microsoft.com/office/excel/2006/main">
          <x14:cfRule type="expression" priority="16" id="{2D347930-2C40-4192-A7BB-A039DD41D5B1}">
            <xm:f>①申請者情報!$E$65=""</xm:f>
            <x14:dxf>
              <fill>
                <patternFill>
                  <bgColor theme="1" tint="0.499984740745262"/>
                </patternFill>
              </fill>
            </x14:dxf>
          </x14:cfRule>
          <xm:sqref>BB13:BF38</xm:sqref>
        </x14:conditionalFormatting>
        <x14:conditionalFormatting xmlns:xm="http://schemas.microsoft.com/office/excel/2006/main">
          <x14:cfRule type="expression" priority="15" id="{E4D862EB-D9A9-4B1A-A86F-63D4FA2ADE7D}">
            <xm:f>①申請者情報!$E$68=""</xm:f>
            <x14:dxf>
              <fill>
                <patternFill>
                  <bgColor theme="1" tint="0.499984740745262"/>
                </patternFill>
              </fill>
            </x14:dxf>
          </x14:cfRule>
          <xm:sqref>BH13:BL38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E3869-927D-4201-ACE5-B90E91D270AF}">
  <sheetPr codeName="Sheet7"/>
  <dimension ref="B2:CZ537"/>
  <sheetViews>
    <sheetView workbookViewId="0"/>
  </sheetViews>
  <sheetFormatPr defaultColWidth="9" defaultRowHeight="18"/>
  <cols>
    <col min="1" max="1" width="2.75" style="1" customWidth="1"/>
    <col min="2" max="2" width="32.125" style="1" customWidth="1"/>
    <col min="3" max="3" width="33" style="1" customWidth="1"/>
    <col min="4" max="4" width="42.375" style="1" customWidth="1"/>
    <col min="5" max="5" width="5" style="1" customWidth="1"/>
    <col min="6" max="104" width="38.375" style="1" customWidth="1"/>
    <col min="105" max="16384" width="9" style="1"/>
  </cols>
  <sheetData>
    <row r="2" spans="2:100">
      <c r="B2" s="30" t="s">
        <v>373</v>
      </c>
      <c r="C2" s="31" t="s">
        <v>374</v>
      </c>
      <c r="D2" s="193" t="s">
        <v>375</v>
      </c>
      <c r="F2" s="194" t="s">
        <v>376</v>
      </c>
      <c r="G2" s="194" t="s">
        <v>377</v>
      </c>
      <c r="H2" s="194" t="s">
        <v>378</v>
      </c>
      <c r="I2" s="194" t="s">
        <v>379</v>
      </c>
      <c r="J2" s="194" t="s">
        <v>380</v>
      </c>
      <c r="K2" s="194" t="s">
        <v>381</v>
      </c>
      <c r="L2" s="194" t="s">
        <v>382</v>
      </c>
      <c r="M2" s="194" t="s">
        <v>383</v>
      </c>
      <c r="N2" s="194" t="s">
        <v>384</v>
      </c>
      <c r="O2" s="194" t="s">
        <v>385</v>
      </c>
      <c r="P2" s="194" t="s">
        <v>386</v>
      </c>
      <c r="Q2" s="194" t="s">
        <v>387</v>
      </c>
      <c r="R2" s="194" t="s">
        <v>388</v>
      </c>
      <c r="S2" s="194" t="s">
        <v>389</v>
      </c>
      <c r="T2" s="194" t="s">
        <v>390</v>
      </c>
      <c r="U2" s="194" t="s">
        <v>391</v>
      </c>
      <c r="V2" s="194" t="s">
        <v>392</v>
      </c>
      <c r="W2" s="194" t="s">
        <v>393</v>
      </c>
      <c r="X2" s="194" t="s">
        <v>394</v>
      </c>
      <c r="Y2" s="194" t="s">
        <v>395</v>
      </c>
    </row>
    <row r="3" spans="2:100">
      <c r="B3" s="27" t="s">
        <v>376</v>
      </c>
      <c r="C3" s="26" t="s">
        <v>396</v>
      </c>
      <c r="D3" s="26" t="s">
        <v>397</v>
      </c>
      <c r="F3" s="26" t="s">
        <v>396</v>
      </c>
      <c r="G3" s="26" t="s">
        <v>398</v>
      </c>
      <c r="H3" s="26" t="s">
        <v>399</v>
      </c>
      <c r="I3" s="26" t="s">
        <v>400</v>
      </c>
      <c r="J3" s="26" t="s">
        <v>401</v>
      </c>
      <c r="K3" s="26" t="s">
        <v>402</v>
      </c>
      <c r="L3" s="26" t="s">
        <v>403</v>
      </c>
      <c r="M3" s="26" t="s">
        <v>404</v>
      </c>
      <c r="N3" s="26" t="s">
        <v>405</v>
      </c>
      <c r="O3" s="26" t="s">
        <v>406</v>
      </c>
      <c r="P3" s="26" t="s">
        <v>407</v>
      </c>
      <c r="Q3" s="26" t="s">
        <v>408</v>
      </c>
      <c r="R3" s="26" t="s">
        <v>409</v>
      </c>
      <c r="S3" s="26" t="s">
        <v>410</v>
      </c>
      <c r="T3" s="26" t="s">
        <v>411</v>
      </c>
      <c r="U3" s="26" t="s">
        <v>412</v>
      </c>
      <c r="V3" s="26" t="s">
        <v>413</v>
      </c>
      <c r="W3" s="26" t="s">
        <v>414</v>
      </c>
      <c r="X3" s="26" t="s">
        <v>415</v>
      </c>
      <c r="Y3" s="26" t="s">
        <v>416</v>
      </c>
    </row>
    <row r="4" spans="2:100">
      <c r="B4" s="28" t="s">
        <v>376</v>
      </c>
      <c r="C4" s="26" t="s">
        <v>396</v>
      </c>
      <c r="D4" s="26" t="s">
        <v>417</v>
      </c>
      <c r="F4" s="26" t="s">
        <v>418</v>
      </c>
      <c r="G4" s="26" t="s">
        <v>419</v>
      </c>
      <c r="H4" s="26"/>
      <c r="I4" s="26" t="s">
        <v>420</v>
      </c>
      <c r="J4" s="26" t="s">
        <v>421</v>
      </c>
      <c r="K4" s="26" t="s">
        <v>422</v>
      </c>
      <c r="L4" s="26" t="s">
        <v>423</v>
      </c>
      <c r="M4" s="26" t="s">
        <v>424</v>
      </c>
      <c r="N4" s="26" t="s">
        <v>425</v>
      </c>
      <c r="O4" s="26" t="s">
        <v>426</v>
      </c>
      <c r="P4" s="26" t="s">
        <v>427</v>
      </c>
      <c r="Q4" s="26" t="s">
        <v>428</v>
      </c>
      <c r="R4" s="26" t="s">
        <v>429</v>
      </c>
      <c r="S4" s="26" t="s">
        <v>430</v>
      </c>
      <c r="T4" s="26" t="s">
        <v>431</v>
      </c>
      <c r="U4" s="26" t="s">
        <v>432</v>
      </c>
      <c r="V4" s="26" t="s">
        <v>433</v>
      </c>
      <c r="W4" s="26" t="s">
        <v>434</v>
      </c>
      <c r="X4" s="26" t="s">
        <v>435</v>
      </c>
      <c r="Y4" s="26"/>
    </row>
    <row r="5" spans="2:100">
      <c r="B5" s="28" t="s">
        <v>376</v>
      </c>
      <c r="C5" s="26" t="s">
        <v>396</v>
      </c>
      <c r="D5" s="26" t="s">
        <v>436</v>
      </c>
      <c r="F5" s="26"/>
      <c r="G5" s="26"/>
      <c r="H5" s="26"/>
      <c r="I5" s="26" t="s">
        <v>437</v>
      </c>
      <c r="J5" s="26" t="s">
        <v>438</v>
      </c>
      <c r="K5" s="26" t="s">
        <v>439</v>
      </c>
      <c r="L5" s="26" t="s">
        <v>440</v>
      </c>
      <c r="M5" s="26" t="s">
        <v>441</v>
      </c>
      <c r="N5" s="26" t="s">
        <v>442</v>
      </c>
      <c r="O5" s="26" t="s">
        <v>443</v>
      </c>
      <c r="P5" s="26" t="s">
        <v>444</v>
      </c>
      <c r="Q5" s="26" t="s">
        <v>445</v>
      </c>
      <c r="R5" s="26" t="s">
        <v>446</v>
      </c>
      <c r="S5" s="26" t="s">
        <v>447</v>
      </c>
      <c r="T5" s="26"/>
      <c r="U5" s="26" t="s">
        <v>448</v>
      </c>
      <c r="V5" s="26"/>
      <c r="W5" s="26" t="s">
        <v>449</v>
      </c>
      <c r="X5" s="26"/>
      <c r="Y5" s="26"/>
    </row>
    <row r="6" spans="2:100">
      <c r="B6" s="28" t="s">
        <v>376</v>
      </c>
      <c r="C6" s="26" t="s">
        <v>396</v>
      </c>
      <c r="D6" s="26" t="s">
        <v>450</v>
      </c>
      <c r="F6" s="26"/>
      <c r="G6" s="26"/>
      <c r="H6" s="26"/>
      <c r="I6" s="26"/>
      <c r="J6" s="26" t="s">
        <v>451</v>
      </c>
      <c r="K6" s="26" t="s">
        <v>452</v>
      </c>
      <c r="L6" s="26" t="s">
        <v>453</v>
      </c>
      <c r="M6" s="26" t="s">
        <v>454</v>
      </c>
      <c r="N6" s="26" t="s">
        <v>455</v>
      </c>
      <c r="O6" s="26" t="s">
        <v>456</v>
      </c>
      <c r="P6" s="26"/>
      <c r="Q6" s="26" t="s">
        <v>457</v>
      </c>
      <c r="R6" s="26"/>
      <c r="S6" s="26"/>
      <c r="T6" s="26"/>
      <c r="U6" s="26"/>
      <c r="V6" s="26"/>
      <c r="W6" s="26" t="s">
        <v>458</v>
      </c>
      <c r="X6" s="26"/>
      <c r="Y6" s="26"/>
    </row>
    <row r="7" spans="2:100">
      <c r="B7" s="28" t="s">
        <v>376</v>
      </c>
      <c r="C7" s="26" t="s">
        <v>396</v>
      </c>
      <c r="D7" s="26" t="s">
        <v>459</v>
      </c>
      <c r="F7" s="26"/>
      <c r="G7" s="26"/>
      <c r="H7" s="26"/>
      <c r="I7" s="26"/>
      <c r="J7" s="26" t="s">
        <v>460</v>
      </c>
      <c r="K7" s="26"/>
      <c r="L7" s="26" t="s">
        <v>461</v>
      </c>
      <c r="M7" s="26" t="s">
        <v>462</v>
      </c>
      <c r="N7" s="26" t="s">
        <v>463</v>
      </c>
      <c r="O7" s="26" t="s">
        <v>464</v>
      </c>
      <c r="P7" s="26"/>
      <c r="Q7" s="26"/>
      <c r="R7" s="26"/>
      <c r="S7" s="26"/>
      <c r="T7" s="26"/>
      <c r="U7" s="26"/>
      <c r="V7" s="26"/>
      <c r="W7" s="26" t="s">
        <v>465</v>
      </c>
      <c r="X7" s="26"/>
      <c r="Y7" s="26"/>
    </row>
    <row r="8" spans="2:100">
      <c r="B8" s="28" t="s">
        <v>376</v>
      </c>
      <c r="C8" s="26" t="s">
        <v>418</v>
      </c>
      <c r="D8" s="26" t="s">
        <v>466</v>
      </c>
      <c r="F8" s="26"/>
      <c r="G8" s="26"/>
      <c r="H8" s="26"/>
      <c r="I8" s="26"/>
      <c r="J8" s="26" t="s">
        <v>467</v>
      </c>
      <c r="K8" s="26"/>
      <c r="L8" s="26"/>
      <c r="M8" s="26" t="s">
        <v>468</v>
      </c>
      <c r="N8" s="26" t="s">
        <v>469</v>
      </c>
      <c r="O8" s="26" t="s">
        <v>470</v>
      </c>
      <c r="P8" s="26"/>
      <c r="Q8" s="26"/>
      <c r="R8" s="26"/>
      <c r="S8" s="26"/>
      <c r="T8" s="26"/>
      <c r="U8" s="26"/>
      <c r="V8" s="26"/>
      <c r="W8" s="26" t="s">
        <v>471</v>
      </c>
      <c r="X8" s="26"/>
      <c r="Y8" s="26"/>
    </row>
    <row r="9" spans="2:100">
      <c r="B9" s="28" t="s">
        <v>376</v>
      </c>
      <c r="C9" s="26" t="s">
        <v>418</v>
      </c>
      <c r="D9" s="26" t="s">
        <v>472</v>
      </c>
      <c r="F9" s="26"/>
      <c r="G9" s="26"/>
      <c r="H9" s="26"/>
      <c r="I9" s="26"/>
      <c r="J9" s="26" t="s">
        <v>473</v>
      </c>
      <c r="K9" s="26"/>
      <c r="L9" s="26"/>
      <c r="M9" s="26" t="s">
        <v>474</v>
      </c>
      <c r="N9" s="26" t="s">
        <v>475</v>
      </c>
      <c r="O9" s="26"/>
      <c r="P9" s="26"/>
      <c r="Q9" s="26"/>
      <c r="R9" s="26"/>
      <c r="S9" s="26"/>
      <c r="T9" s="26"/>
      <c r="U9" s="26"/>
      <c r="V9" s="26"/>
      <c r="W9" s="26" t="s">
        <v>476</v>
      </c>
      <c r="X9" s="26"/>
      <c r="Y9" s="26"/>
    </row>
    <row r="10" spans="2:100">
      <c r="B10" s="28" t="s">
        <v>376</v>
      </c>
      <c r="C10" s="26" t="s">
        <v>418</v>
      </c>
      <c r="D10" s="26" t="s">
        <v>477</v>
      </c>
      <c r="F10" s="26"/>
      <c r="G10" s="26"/>
      <c r="H10" s="26"/>
      <c r="I10" s="26"/>
      <c r="J10" s="26" t="s">
        <v>478</v>
      </c>
      <c r="K10" s="26"/>
      <c r="L10" s="26"/>
      <c r="M10" s="26" t="s">
        <v>479</v>
      </c>
      <c r="N10" s="26" t="s">
        <v>480</v>
      </c>
      <c r="O10" s="26"/>
      <c r="P10" s="26"/>
      <c r="Q10" s="26"/>
      <c r="R10" s="26"/>
      <c r="S10" s="26"/>
      <c r="T10" s="26"/>
      <c r="U10" s="26"/>
      <c r="V10" s="26"/>
      <c r="W10" s="26" t="s">
        <v>481</v>
      </c>
      <c r="X10" s="26"/>
      <c r="Y10" s="26"/>
    </row>
    <row r="11" spans="2:100">
      <c r="B11" s="28" t="s">
        <v>376</v>
      </c>
      <c r="C11" s="26" t="s">
        <v>418</v>
      </c>
      <c r="D11" s="26" t="s">
        <v>482</v>
      </c>
      <c r="F11" s="26"/>
      <c r="G11" s="26"/>
      <c r="H11" s="26"/>
      <c r="I11" s="26"/>
      <c r="J11" s="26" t="s">
        <v>483</v>
      </c>
      <c r="K11" s="26"/>
      <c r="L11" s="26"/>
      <c r="M11" s="26"/>
      <c r="N11" s="26" t="s">
        <v>484</v>
      </c>
      <c r="O11" s="26"/>
      <c r="P11" s="26"/>
      <c r="Q11" s="26"/>
      <c r="R11" s="26"/>
      <c r="S11" s="26"/>
      <c r="T11" s="26"/>
      <c r="U11" s="26"/>
      <c r="V11" s="26"/>
      <c r="W11" s="26" t="s">
        <v>485</v>
      </c>
      <c r="X11" s="26"/>
      <c r="Y11" s="26"/>
      <c r="CV11" s="1">
        <v>1</v>
      </c>
    </row>
    <row r="12" spans="2:100">
      <c r="B12" s="28" t="s">
        <v>376</v>
      </c>
      <c r="C12" s="26" t="s">
        <v>418</v>
      </c>
      <c r="D12" s="26" t="s">
        <v>486</v>
      </c>
      <c r="F12" s="26"/>
      <c r="G12" s="26"/>
      <c r="H12" s="26"/>
      <c r="I12" s="26"/>
      <c r="J12" s="26" t="s">
        <v>487</v>
      </c>
      <c r="K12" s="26"/>
      <c r="L12" s="26"/>
      <c r="M12" s="26"/>
      <c r="N12" s="26" t="s">
        <v>488</v>
      </c>
      <c r="O12" s="26"/>
      <c r="P12" s="26"/>
      <c r="Q12" s="26"/>
      <c r="R12" s="26"/>
      <c r="S12" s="26"/>
      <c r="T12" s="26"/>
      <c r="U12" s="26"/>
      <c r="V12" s="26"/>
      <c r="W12" s="26"/>
      <c r="X12" s="26"/>
      <c r="Y12" s="26"/>
      <c r="CV12" s="1">
        <v>1</v>
      </c>
    </row>
    <row r="13" spans="2:100">
      <c r="B13" s="28" t="s">
        <v>376</v>
      </c>
      <c r="C13" s="26" t="s">
        <v>418</v>
      </c>
      <c r="D13" s="26" t="s">
        <v>489</v>
      </c>
      <c r="F13" s="26"/>
      <c r="G13" s="26"/>
      <c r="H13" s="26"/>
      <c r="I13" s="26"/>
      <c r="J13" s="26" t="s">
        <v>490</v>
      </c>
      <c r="K13" s="26"/>
      <c r="L13" s="26"/>
      <c r="M13" s="26"/>
      <c r="N13" s="26" t="s">
        <v>491</v>
      </c>
      <c r="O13" s="26"/>
      <c r="P13" s="26"/>
      <c r="Q13" s="26"/>
      <c r="R13" s="26"/>
      <c r="S13" s="26"/>
      <c r="T13" s="26"/>
      <c r="U13" s="26"/>
      <c r="V13" s="26"/>
      <c r="W13" s="26"/>
      <c r="X13" s="26"/>
      <c r="Y13" s="26"/>
    </row>
    <row r="14" spans="2:100">
      <c r="B14" s="27" t="s">
        <v>492</v>
      </c>
      <c r="C14" s="26" t="s">
        <v>493</v>
      </c>
      <c r="D14" s="26" t="s">
        <v>494</v>
      </c>
      <c r="F14" s="26"/>
      <c r="G14" s="26"/>
      <c r="H14" s="26"/>
      <c r="I14" s="26"/>
      <c r="J14" s="26" t="s">
        <v>495</v>
      </c>
      <c r="K14" s="26"/>
      <c r="L14" s="26"/>
      <c r="M14" s="26"/>
      <c r="N14" s="26" t="s">
        <v>496</v>
      </c>
      <c r="O14" s="26"/>
      <c r="P14" s="26"/>
      <c r="Q14" s="26"/>
      <c r="R14" s="26"/>
      <c r="S14" s="26"/>
      <c r="T14" s="26"/>
      <c r="U14" s="26"/>
      <c r="V14" s="26"/>
      <c r="W14" s="26"/>
      <c r="X14" s="26"/>
      <c r="Y14" s="26"/>
    </row>
    <row r="15" spans="2:100">
      <c r="B15" s="28" t="s">
        <v>492</v>
      </c>
      <c r="C15" s="26" t="s">
        <v>493</v>
      </c>
      <c r="D15" s="26" t="s">
        <v>497</v>
      </c>
      <c r="F15" s="26"/>
      <c r="G15" s="26"/>
      <c r="H15" s="26"/>
      <c r="I15" s="26"/>
      <c r="J15" s="26" t="s">
        <v>498</v>
      </c>
      <c r="K15" s="26"/>
      <c r="L15" s="26"/>
      <c r="M15" s="26"/>
      <c r="N15" s="26"/>
      <c r="O15" s="26"/>
      <c r="P15" s="26"/>
      <c r="Q15" s="26"/>
      <c r="R15" s="26"/>
      <c r="S15" s="26"/>
      <c r="T15" s="26"/>
      <c r="U15" s="26"/>
      <c r="V15" s="26"/>
      <c r="W15" s="26"/>
      <c r="X15" s="26"/>
      <c r="Y15" s="26"/>
    </row>
    <row r="16" spans="2:100">
      <c r="B16" s="28" t="s">
        <v>492</v>
      </c>
      <c r="C16" s="26" t="s">
        <v>493</v>
      </c>
      <c r="D16" s="26" t="s">
        <v>499</v>
      </c>
      <c r="F16" s="26"/>
      <c r="G16" s="26"/>
      <c r="H16" s="26"/>
      <c r="I16" s="26"/>
      <c r="J16" s="26" t="s">
        <v>500</v>
      </c>
      <c r="K16" s="26"/>
      <c r="L16" s="26"/>
      <c r="M16" s="26"/>
      <c r="N16" s="26"/>
      <c r="O16" s="26"/>
      <c r="P16" s="26"/>
      <c r="Q16" s="26"/>
      <c r="R16" s="26"/>
      <c r="S16" s="26"/>
      <c r="T16" s="26"/>
      <c r="U16" s="26"/>
      <c r="V16" s="26"/>
      <c r="W16" s="26"/>
      <c r="X16" s="26"/>
      <c r="Y16" s="26"/>
    </row>
    <row r="17" spans="2:104">
      <c r="B17" s="28" t="s">
        <v>492</v>
      </c>
      <c r="C17" s="26" t="s">
        <v>419</v>
      </c>
      <c r="D17" s="26" t="s">
        <v>501</v>
      </c>
      <c r="F17" s="26"/>
      <c r="G17" s="26"/>
      <c r="H17" s="26"/>
      <c r="I17" s="26"/>
      <c r="J17" s="26" t="s">
        <v>502</v>
      </c>
      <c r="K17" s="26"/>
      <c r="L17" s="26"/>
      <c r="M17" s="26"/>
      <c r="N17" s="26"/>
      <c r="O17" s="26"/>
      <c r="P17" s="26"/>
      <c r="Q17" s="26"/>
      <c r="R17" s="26"/>
      <c r="S17" s="26"/>
      <c r="T17" s="26"/>
      <c r="U17" s="26"/>
      <c r="V17" s="26"/>
      <c r="W17" s="26"/>
      <c r="X17" s="26"/>
      <c r="Y17" s="26"/>
    </row>
    <row r="18" spans="2:104">
      <c r="B18" s="28" t="s">
        <v>492</v>
      </c>
      <c r="C18" s="26" t="s">
        <v>419</v>
      </c>
      <c r="D18" s="26" t="s">
        <v>503</v>
      </c>
      <c r="F18" s="26"/>
      <c r="G18" s="26"/>
      <c r="H18" s="26"/>
      <c r="I18" s="26"/>
      <c r="J18" s="26" t="s">
        <v>504</v>
      </c>
      <c r="K18" s="26"/>
      <c r="L18" s="26"/>
      <c r="M18" s="26"/>
      <c r="N18" s="26"/>
      <c r="O18" s="26"/>
      <c r="P18" s="26"/>
      <c r="Q18" s="26"/>
      <c r="R18" s="26"/>
      <c r="S18" s="26"/>
      <c r="T18" s="26"/>
      <c r="U18" s="26"/>
      <c r="V18" s="26"/>
      <c r="W18" s="26"/>
      <c r="X18" s="26"/>
      <c r="Y18" s="26"/>
    </row>
    <row r="19" spans="2:104">
      <c r="B19" s="28" t="s">
        <v>492</v>
      </c>
      <c r="C19" s="26" t="s">
        <v>419</v>
      </c>
      <c r="D19" s="26" t="s">
        <v>505</v>
      </c>
      <c r="F19" s="26"/>
      <c r="G19" s="26"/>
      <c r="H19" s="26"/>
      <c r="I19" s="26"/>
      <c r="J19" s="26" t="s">
        <v>506</v>
      </c>
      <c r="K19" s="26"/>
      <c r="L19" s="26"/>
      <c r="M19" s="26"/>
      <c r="N19" s="26"/>
      <c r="O19" s="26"/>
      <c r="P19" s="26"/>
      <c r="Q19" s="26"/>
      <c r="R19" s="26"/>
      <c r="S19" s="26"/>
      <c r="T19" s="26"/>
      <c r="U19" s="26"/>
      <c r="V19" s="26"/>
      <c r="W19" s="26"/>
      <c r="X19" s="26"/>
      <c r="Y19" s="26"/>
    </row>
    <row r="20" spans="2:104">
      <c r="B20" s="27" t="s">
        <v>378</v>
      </c>
      <c r="C20" s="26" t="s">
        <v>507</v>
      </c>
      <c r="D20" s="26" t="s">
        <v>508</v>
      </c>
      <c r="F20" s="26"/>
      <c r="G20" s="26"/>
      <c r="H20" s="26"/>
      <c r="I20" s="26"/>
      <c r="J20" s="26" t="s">
        <v>509</v>
      </c>
      <c r="K20" s="26"/>
      <c r="L20" s="26"/>
      <c r="M20" s="26"/>
      <c r="N20" s="26"/>
      <c r="O20" s="26"/>
      <c r="P20" s="26"/>
      <c r="Q20" s="26"/>
      <c r="R20" s="26"/>
      <c r="S20" s="26"/>
      <c r="T20" s="26"/>
      <c r="U20" s="26"/>
      <c r="V20" s="26"/>
      <c r="W20" s="26"/>
      <c r="X20" s="26"/>
      <c r="Y20" s="26"/>
    </row>
    <row r="21" spans="2:104">
      <c r="B21" s="28" t="s">
        <v>378</v>
      </c>
      <c r="C21" s="26" t="s">
        <v>507</v>
      </c>
      <c r="D21" s="26" t="s">
        <v>510</v>
      </c>
      <c r="F21" s="26"/>
      <c r="G21" s="26"/>
      <c r="H21" s="26"/>
      <c r="I21" s="26"/>
      <c r="J21" s="26" t="s">
        <v>511</v>
      </c>
      <c r="K21" s="26"/>
      <c r="L21" s="26"/>
      <c r="M21" s="26"/>
      <c r="N21" s="26"/>
      <c r="O21" s="26"/>
      <c r="P21" s="26"/>
      <c r="Q21" s="26"/>
      <c r="R21" s="26"/>
      <c r="S21" s="26"/>
      <c r="T21" s="26"/>
      <c r="U21" s="26"/>
      <c r="V21" s="26"/>
      <c r="W21" s="26"/>
      <c r="X21" s="26"/>
      <c r="Y21" s="26"/>
    </row>
    <row r="22" spans="2:104">
      <c r="B22" s="28" t="s">
        <v>378</v>
      </c>
      <c r="C22" s="26" t="s">
        <v>507</v>
      </c>
      <c r="D22" s="26" t="s">
        <v>512</v>
      </c>
      <c r="F22" s="26"/>
      <c r="G22" s="26"/>
      <c r="H22" s="26"/>
      <c r="I22" s="26"/>
      <c r="J22" s="26" t="s">
        <v>513</v>
      </c>
      <c r="K22" s="26"/>
      <c r="L22" s="26"/>
      <c r="M22" s="26"/>
      <c r="N22" s="26"/>
      <c r="O22" s="26"/>
      <c r="P22" s="26"/>
      <c r="Q22" s="26"/>
      <c r="R22" s="26"/>
      <c r="S22" s="26"/>
      <c r="T22" s="26"/>
      <c r="U22" s="26"/>
      <c r="V22" s="26"/>
      <c r="W22" s="26"/>
      <c r="X22" s="26"/>
      <c r="Y22" s="26"/>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row>
    <row r="23" spans="2:104">
      <c r="B23" s="28" t="s">
        <v>378</v>
      </c>
      <c r="C23" s="26" t="s">
        <v>507</v>
      </c>
      <c r="D23" s="26" t="s">
        <v>514</v>
      </c>
      <c r="F23" s="26"/>
      <c r="G23" s="26"/>
      <c r="H23" s="26"/>
      <c r="I23" s="26"/>
      <c r="J23" s="26" t="s">
        <v>515</v>
      </c>
      <c r="K23" s="26"/>
      <c r="L23" s="26"/>
      <c r="M23" s="26"/>
      <c r="N23" s="26"/>
      <c r="O23" s="26"/>
      <c r="P23" s="26"/>
      <c r="Q23" s="26"/>
      <c r="R23" s="26"/>
      <c r="S23" s="26"/>
      <c r="T23" s="26"/>
      <c r="U23" s="26"/>
      <c r="V23" s="26"/>
      <c r="W23" s="26"/>
      <c r="X23" s="26"/>
      <c r="Y23" s="26"/>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row>
    <row r="24" spans="2:104">
      <c r="B24" s="28" t="s">
        <v>378</v>
      </c>
      <c r="C24" s="26" t="s">
        <v>507</v>
      </c>
      <c r="D24" s="26" t="s">
        <v>516</v>
      </c>
      <c r="F24" s="26"/>
      <c r="G24" s="26"/>
      <c r="H24" s="26"/>
      <c r="I24" s="26"/>
      <c r="J24" s="26" t="s">
        <v>517</v>
      </c>
      <c r="K24" s="26"/>
      <c r="L24" s="26"/>
      <c r="M24" s="26"/>
      <c r="N24" s="26"/>
      <c r="O24" s="26"/>
      <c r="P24" s="26"/>
      <c r="Q24" s="26"/>
      <c r="R24" s="26"/>
      <c r="S24" s="26"/>
      <c r="T24" s="26"/>
      <c r="U24" s="26"/>
      <c r="V24" s="26"/>
      <c r="W24" s="26"/>
      <c r="X24" s="26"/>
      <c r="Y24" s="26"/>
    </row>
    <row r="25" spans="2:104">
      <c r="B25" s="28" t="s">
        <v>378</v>
      </c>
      <c r="C25" s="26" t="s">
        <v>507</v>
      </c>
      <c r="D25" s="26" t="s">
        <v>518</v>
      </c>
      <c r="F25" s="26"/>
      <c r="G25" s="26"/>
      <c r="H25" s="26"/>
      <c r="I25" s="26"/>
      <c r="J25" s="26" t="s">
        <v>519</v>
      </c>
      <c r="K25" s="26"/>
      <c r="L25" s="26"/>
      <c r="M25" s="26"/>
      <c r="N25" s="26"/>
      <c r="O25" s="26"/>
      <c r="P25" s="26"/>
      <c r="Q25" s="26"/>
      <c r="R25" s="26"/>
      <c r="S25" s="26"/>
      <c r="T25" s="26"/>
      <c r="U25" s="26"/>
      <c r="V25" s="26"/>
      <c r="W25" s="26"/>
      <c r="X25" s="26"/>
      <c r="Y25" s="26"/>
    </row>
    <row r="26" spans="2:104">
      <c r="B26" s="28" t="s">
        <v>378</v>
      </c>
      <c r="C26" s="26" t="s">
        <v>507</v>
      </c>
      <c r="D26" s="26" t="s">
        <v>520</v>
      </c>
      <c r="F26" s="26"/>
      <c r="G26" s="26"/>
      <c r="H26" s="26"/>
      <c r="I26" s="26"/>
      <c r="J26" s="26" t="s">
        <v>521</v>
      </c>
      <c r="K26" s="26"/>
      <c r="L26" s="26"/>
      <c r="M26" s="26"/>
      <c r="N26" s="26"/>
      <c r="O26" s="26"/>
      <c r="P26" s="26"/>
      <c r="Q26" s="26"/>
      <c r="R26" s="26"/>
      <c r="S26" s="26"/>
      <c r="T26" s="26"/>
      <c r="U26" s="26"/>
      <c r="V26" s="26"/>
      <c r="W26" s="26"/>
      <c r="X26" s="26"/>
      <c r="Y26" s="26"/>
    </row>
    <row r="27" spans="2:104">
      <c r="B27" s="27" t="s">
        <v>522</v>
      </c>
      <c r="C27" s="26" t="s">
        <v>400</v>
      </c>
      <c r="D27" s="26" t="s">
        <v>523</v>
      </c>
    </row>
    <row r="28" spans="2:104">
      <c r="B28" s="28" t="s">
        <v>522</v>
      </c>
      <c r="C28" s="26" t="s">
        <v>400</v>
      </c>
      <c r="D28" s="26" t="s">
        <v>524</v>
      </c>
    </row>
    <row r="29" spans="2:104">
      <c r="B29" s="28" t="s">
        <v>522</v>
      </c>
      <c r="C29" s="26" t="s">
        <v>400</v>
      </c>
      <c r="D29" s="26" t="s">
        <v>525</v>
      </c>
    </row>
    <row r="30" spans="2:104">
      <c r="B30" s="28" t="s">
        <v>522</v>
      </c>
      <c r="C30" s="26" t="s">
        <v>400</v>
      </c>
      <c r="D30" s="26" t="s">
        <v>526</v>
      </c>
    </row>
    <row r="31" spans="2:104">
      <c r="B31" s="28" t="s">
        <v>522</v>
      </c>
      <c r="C31" s="26" t="s">
        <v>400</v>
      </c>
      <c r="D31" s="26" t="s">
        <v>527</v>
      </c>
      <c r="BF31" s="1" t="s">
        <v>455</v>
      </c>
    </row>
    <row r="32" spans="2:104">
      <c r="B32" s="28" t="s">
        <v>522</v>
      </c>
      <c r="C32" s="26" t="s">
        <v>400</v>
      </c>
      <c r="D32" s="26" t="s">
        <v>528</v>
      </c>
    </row>
    <row r="33" spans="2:104">
      <c r="B33" s="28" t="s">
        <v>522</v>
      </c>
      <c r="C33" s="26" t="s">
        <v>400</v>
      </c>
      <c r="D33" s="26" t="s">
        <v>529</v>
      </c>
      <c r="F33" s="194" t="s">
        <v>376</v>
      </c>
      <c r="G33" s="194" t="s">
        <v>376</v>
      </c>
      <c r="H33" s="194" t="s">
        <v>492</v>
      </c>
      <c r="I33" s="194" t="s">
        <v>492</v>
      </c>
      <c r="J33" s="194" t="s">
        <v>530</v>
      </c>
      <c r="K33" s="194" t="s">
        <v>522</v>
      </c>
      <c r="L33" s="194" t="s">
        <v>522</v>
      </c>
      <c r="M33" s="194" t="s">
        <v>522</v>
      </c>
      <c r="N33" s="194" t="s">
        <v>531</v>
      </c>
      <c r="O33" s="194" t="s">
        <v>531</v>
      </c>
      <c r="P33" s="194" t="s">
        <v>531</v>
      </c>
      <c r="Q33" s="194" t="s">
        <v>531</v>
      </c>
      <c r="R33" s="194" t="s">
        <v>531</v>
      </c>
      <c r="S33" s="194" t="s">
        <v>531</v>
      </c>
      <c r="T33" s="194" t="s">
        <v>531</v>
      </c>
      <c r="U33" s="194" t="s">
        <v>531</v>
      </c>
      <c r="V33" s="194" t="s">
        <v>531</v>
      </c>
      <c r="W33" s="194" t="s">
        <v>531</v>
      </c>
      <c r="X33" s="194" t="s">
        <v>531</v>
      </c>
      <c r="Y33" s="194" t="s">
        <v>531</v>
      </c>
      <c r="Z33" s="194" t="s">
        <v>531</v>
      </c>
      <c r="AA33" s="194" t="s">
        <v>531</v>
      </c>
      <c r="AB33" s="194" t="s">
        <v>531</v>
      </c>
      <c r="AC33" s="194" t="s">
        <v>531</v>
      </c>
      <c r="AD33" s="194" t="s">
        <v>531</v>
      </c>
      <c r="AE33" s="194" t="s">
        <v>531</v>
      </c>
      <c r="AF33" s="194" t="s">
        <v>531</v>
      </c>
      <c r="AG33" s="194" t="s">
        <v>531</v>
      </c>
      <c r="AH33" s="194" t="s">
        <v>531</v>
      </c>
      <c r="AI33" s="194" t="s">
        <v>531</v>
      </c>
      <c r="AJ33" s="194" t="s">
        <v>531</v>
      </c>
      <c r="AK33" s="194" t="s">
        <v>531</v>
      </c>
      <c r="AL33" s="194" t="s">
        <v>532</v>
      </c>
      <c r="AM33" s="194" t="s">
        <v>532</v>
      </c>
      <c r="AN33" s="194" t="s">
        <v>532</v>
      </c>
      <c r="AO33" s="194" t="s">
        <v>532</v>
      </c>
      <c r="AP33" s="194" t="s">
        <v>533</v>
      </c>
      <c r="AQ33" s="194" t="s">
        <v>533</v>
      </c>
      <c r="AR33" s="194" t="s">
        <v>533</v>
      </c>
      <c r="AS33" s="194" t="s">
        <v>533</v>
      </c>
      <c r="AT33" s="194" t="s">
        <v>533</v>
      </c>
      <c r="AU33" s="194" t="s">
        <v>534</v>
      </c>
      <c r="AV33" s="194" t="s">
        <v>534</v>
      </c>
      <c r="AW33" s="194" t="s">
        <v>534</v>
      </c>
      <c r="AX33" s="194" t="s">
        <v>534</v>
      </c>
      <c r="AY33" s="194" t="s">
        <v>534</v>
      </c>
      <c r="AZ33" s="194" t="s">
        <v>534</v>
      </c>
      <c r="BA33" s="194" t="s">
        <v>534</v>
      </c>
      <c r="BB33" s="194" t="s">
        <v>534</v>
      </c>
      <c r="BC33" s="194" t="s">
        <v>535</v>
      </c>
      <c r="BD33" s="194" t="s">
        <v>535</v>
      </c>
      <c r="BE33" s="194" t="s">
        <v>535</v>
      </c>
      <c r="BF33" s="194" t="s">
        <v>535</v>
      </c>
      <c r="BG33" s="194" t="s">
        <v>535</v>
      </c>
      <c r="BH33" s="194" t="s">
        <v>535</v>
      </c>
      <c r="BI33" s="194" t="s">
        <v>535</v>
      </c>
      <c r="BJ33" s="194" t="s">
        <v>535</v>
      </c>
      <c r="BK33" s="194" t="s">
        <v>535</v>
      </c>
      <c r="BL33" s="194" t="s">
        <v>535</v>
      </c>
      <c r="BM33" s="194" t="s">
        <v>535</v>
      </c>
      <c r="BN33" s="194" t="s">
        <v>535</v>
      </c>
      <c r="BO33" s="194" t="s">
        <v>536</v>
      </c>
      <c r="BP33" s="194" t="s">
        <v>536</v>
      </c>
      <c r="BQ33" s="194" t="s">
        <v>536</v>
      </c>
      <c r="BR33" s="194" t="s">
        <v>536</v>
      </c>
      <c r="BS33" s="194" t="s">
        <v>536</v>
      </c>
      <c r="BT33" s="194" t="s">
        <v>536</v>
      </c>
      <c r="BU33" s="194" t="s">
        <v>537</v>
      </c>
      <c r="BV33" s="194" t="s">
        <v>537</v>
      </c>
      <c r="BW33" s="194" t="s">
        <v>537</v>
      </c>
      <c r="BX33" s="194" t="s">
        <v>538</v>
      </c>
      <c r="BY33" s="194" t="s">
        <v>538</v>
      </c>
      <c r="BZ33" s="194" t="s">
        <v>538</v>
      </c>
      <c r="CA33" s="194" t="s">
        <v>538</v>
      </c>
      <c r="CB33" s="194" t="s">
        <v>539</v>
      </c>
      <c r="CC33" s="194" t="s">
        <v>539</v>
      </c>
      <c r="CD33" s="194" t="s">
        <v>539</v>
      </c>
      <c r="CE33" s="194" t="s">
        <v>540</v>
      </c>
      <c r="CF33" s="194" t="s">
        <v>540</v>
      </c>
      <c r="CG33" s="194" t="s">
        <v>540</v>
      </c>
      <c r="CH33" s="194" t="s">
        <v>541</v>
      </c>
      <c r="CI33" s="194" t="s">
        <v>541</v>
      </c>
      <c r="CJ33" s="194" t="s">
        <v>542</v>
      </c>
      <c r="CK33" s="194" t="s">
        <v>542</v>
      </c>
      <c r="CL33" s="194" t="s">
        <v>542</v>
      </c>
      <c r="CM33" s="194" t="s">
        <v>543</v>
      </c>
      <c r="CN33" s="194" t="s">
        <v>543</v>
      </c>
      <c r="CO33" s="194" t="s">
        <v>544</v>
      </c>
      <c r="CP33" s="194" t="s">
        <v>544</v>
      </c>
      <c r="CQ33" s="194" t="s">
        <v>544</v>
      </c>
      <c r="CR33" s="194" t="s">
        <v>544</v>
      </c>
      <c r="CS33" s="194" t="s">
        <v>544</v>
      </c>
      <c r="CT33" s="194" t="s">
        <v>544</v>
      </c>
      <c r="CU33" s="194" t="s">
        <v>544</v>
      </c>
      <c r="CV33" s="194" t="s">
        <v>544</v>
      </c>
      <c r="CW33" s="194" t="s">
        <v>544</v>
      </c>
      <c r="CX33" s="194" t="s">
        <v>545</v>
      </c>
      <c r="CY33" s="194" t="s">
        <v>545</v>
      </c>
      <c r="CZ33" s="194" t="s">
        <v>546</v>
      </c>
    </row>
    <row r="34" spans="2:104">
      <c r="B34" s="28" t="s">
        <v>522</v>
      </c>
      <c r="C34" s="26" t="s">
        <v>547</v>
      </c>
      <c r="D34" s="26" t="s">
        <v>548</v>
      </c>
      <c r="F34" s="30" t="s">
        <v>396</v>
      </c>
      <c r="G34" s="30" t="s">
        <v>418</v>
      </c>
      <c r="H34" s="30" t="s">
        <v>549</v>
      </c>
      <c r="I34" s="30" t="s">
        <v>419</v>
      </c>
      <c r="J34" s="30" t="s">
        <v>399</v>
      </c>
      <c r="K34" s="30" t="s">
        <v>400</v>
      </c>
      <c r="L34" s="30" t="s">
        <v>420</v>
      </c>
      <c r="M34" s="30" t="s">
        <v>437</v>
      </c>
      <c r="N34" s="30" t="s">
        <v>401</v>
      </c>
      <c r="O34" s="30" t="s">
        <v>421</v>
      </c>
      <c r="P34" s="30" t="s">
        <v>438</v>
      </c>
      <c r="Q34" s="30" t="s">
        <v>451</v>
      </c>
      <c r="R34" s="30" t="s">
        <v>460</v>
      </c>
      <c r="S34" s="30" t="s">
        <v>467</v>
      </c>
      <c r="T34" s="30" t="s">
        <v>473</v>
      </c>
      <c r="U34" s="30" t="s">
        <v>478</v>
      </c>
      <c r="V34" s="30" t="s">
        <v>483</v>
      </c>
      <c r="W34" s="30" t="s">
        <v>550</v>
      </c>
      <c r="X34" s="30" t="s">
        <v>490</v>
      </c>
      <c r="Y34" s="30" t="s">
        <v>495</v>
      </c>
      <c r="Z34" s="30" t="s">
        <v>498</v>
      </c>
      <c r="AA34" s="30" t="s">
        <v>500</v>
      </c>
      <c r="AB34" s="30" t="s">
        <v>502</v>
      </c>
      <c r="AC34" s="30" t="s">
        <v>504</v>
      </c>
      <c r="AD34" s="30" t="s">
        <v>506</v>
      </c>
      <c r="AE34" s="30" t="s">
        <v>509</v>
      </c>
      <c r="AF34" s="30" t="s">
        <v>511</v>
      </c>
      <c r="AG34" s="30" t="s">
        <v>513</v>
      </c>
      <c r="AH34" s="30" t="s">
        <v>515</v>
      </c>
      <c r="AI34" s="30" t="s">
        <v>517</v>
      </c>
      <c r="AJ34" s="30" t="s">
        <v>519</v>
      </c>
      <c r="AK34" s="30" t="s">
        <v>521</v>
      </c>
      <c r="AL34" s="30" t="s">
        <v>402</v>
      </c>
      <c r="AM34" s="30" t="s">
        <v>422</v>
      </c>
      <c r="AN34" s="30" t="s">
        <v>439</v>
      </c>
      <c r="AO34" s="30" t="s">
        <v>452</v>
      </c>
      <c r="AP34" s="30" t="s">
        <v>403</v>
      </c>
      <c r="AQ34" s="30" t="s">
        <v>423</v>
      </c>
      <c r="AR34" s="30" t="s">
        <v>440</v>
      </c>
      <c r="AS34" s="30" t="s">
        <v>453</v>
      </c>
      <c r="AT34" s="30" t="s">
        <v>461</v>
      </c>
      <c r="AU34" s="30" t="s">
        <v>404</v>
      </c>
      <c r="AV34" s="30" t="s">
        <v>424</v>
      </c>
      <c r="AW34" s="30" t="s">
        <v>441</v>
      </c>
      <c r="AX34" s="30" t="s">
        <v>454</v>
      </c>
      <c r="AY34" s="30" t="s">
        <v>462</v>
      </c>
      <c r="AZ34" s="30" t="s">
        <v>468</v>
      </c>
      <c r="BA34" s="30" t="s">
        <v>474</v>
      </c>
      <c r="BB34" s="30" t="s">
        <v>551</v>
      </c>
      <c r="BC34" s="30" t="s">
        <v>405</v>
      </c>
      <c r="BD34" s="30" t="s">
        <v>425</v>
      </c>
      <c r="BE34" s="30" t="s">
        <v>442</v>
      </c>
      <c r="BF34" s="30" t="s">
        <v>455</v>
      </c>
      <c r="BG34" s="30" t="s">
        <v>463</v>
      </c>
      <c r="BH34" s="30" t="s">
        <v>469</v>
      </c>
      <c r="BI34" s="30" t="s">
        <v>475</v>
      </c>
      <c r="BJ34" s="30" t="s">
        <v>480</v>
      </c>
      <c r="BK34" s="30" t="s">
        <v>484</v>
      </c>
      <c r="BL34" s="30" t="s">
        <v>488</v>
      </c>
      <c r="BM34" s="30" t="s">
        <v>491</v>
      </c>
      <c r="BN34" s="30" t="s">
        <v>496</v>
      </c>
      <c r="BO34" s="30" t="s">
        <v>406</v>
      </c>
      <c r="BP34" s="30" t="s">
        <v>426</v>
      </c>
      <c r="BQ34" s="30" t="s">
        <v>443</v>
      </c>
      <c r="BR34" s="30" t="s">
        <v>456</v>
      </c>
      <c r="BS34" s="30" t="s">
        <v>464</v>
      </c>
      <c r="BT34" s="30" t="s">
        <v>470</v>
      </c>
      <c r="BU34" s="30" t="s">
        <v>407</v>
      </c>
      <c r="BV34" s="30" t="s">
        <v>427</v>
      </c>
      <c r="BW34" s="30" t="s">
        <v>444</v>
      </c>
      <c r="BX34" s="30" t="s">
        <v>408</v>
      </c>
      <c r="BY34" s="30" t="s">
        <v>428</v>
      </c>
      <c r="BZ34" s="30" t="s">
        <v>445</v>
      </c>
      <c r="CA34" s="30" t="s">
        <v>457</v>
      </c>
      <c r="CB34" s="30" t="s">
        <v>409</v>
      </c>
      <c r="CC34" s="30" t="s">
        <v>429</v>
      </c>
      <c r="CD34" s="30" t="s">
        <v>446</v>
      </c>
      <c r="CE34" s="30" t="s">
        <v>410</v>
      </c>
      <c r="CF34" s="30" t="s">
        <v>430</v>
      </c>
      <c r="CG34" s="30" t="s">
        <v>447</v>
      </c>
      <c r="CH34" s="30" t="s">
        <v>411</v>
      </c>
      <c r="CI34" s="30" t="s">
        <v>431</v>
      </c>
      <c r="CJ34" s="30" t="s">
        <v>412</v>
      </c>
      <c r="CK34" s="30" t="s">
        <v>432</v>
      </c>
      <c r="CL34" s="30" t="s">
        <v>448</v>
      </c>
      <c r="CM34" s="30" t="s">
        <v>413</v>
      </c>
      <c r="CN34" s="30" t="s">
        <v>433</v>
      </c>
      <c r="CO34" s="30" t="s">
        <v>414</v>
      </c>
      <c r="CP34" s="30" t="s">
        <v>434</v>
      </c>
      <c r="CQ34" s="30" t="s">
        <v>449</v>
      </c>
      <c r="CR34" s="30" t="s">
        <v>458</v>
      </c>
      <c r="CS34" s="30" t="s">
        <v>465</v>
      </c>
      <c r="CT34" s="30" t="s">
        <v>471</v>
      </c>
      <c r="CU34" s="30" t="s">
        <v>476</v>
      </c>
      <c r="CV34" s="30" t="s">
        <v>481</v>
      </c>
      <c r="CW34" s="30" t="s">
        <v>485</v>
      </c>
      <c r="CX34" s="30" t="s">
        <v>415</v>
      </c>
      <c r="CY34" s="30" t="s">
        <v>435</v>
      </c>
      <c r="CZ34" s="30" t="s">
        <v>416</v>
      </c>
    </row>
    <row r="35" spans="2:104">
      <c r="B35" s="26" t="s">
        <v>522</v>
      </c>
      <c r="C35" s="26" t="s">
        <v>547</v>
      </c>
      <c r="D35" s="26" t="s">
        <v>552</v>
      </c>
      <c r="F35" s="27" t="s">
        <v>553</v>
      </c>
      <c r="G35" s="27" t="s">
        <v>466</v>
      </c>
      <c r="H35" s="27" t="s">
        <v>494</v>
      </c>
      <c r="I35" s="27" t="s">
        <v>501</v>
      </c>
      <c r="J35" s="27" t="s">
        <v>508</v>
      </c>
      <c r="K35" s="27" t="s">
        <v>523</v>
      </c>
      <c r="L35" s="27" t="s">
        <v>548</v>
      </c>
      <c r="M35" s="27" t="s">
        <v>554</v>
      </c>
      <c r="N35" s="27" t="s">
        <v>555</v>
      </c>
      <c r="O35" s="27" t="s">
        <v>556</v>
      </c>
      <c r="P35" s="27" t="s">
        <v>557</v>
      </c>
      <c r="Q35" s="27" t="s">
        <v>558</v>
      </c>
      <c r="R35" s="27" t="s">
        <v>559</v>
      </c>
      <c r="S35" s="27" t="s">
        <v>560</v>
      </c>
      <c r="T35" s="27" t="s">
        <v>561</v>
      </c>
      <c r="U35" s="27" t="s">
        <v>562</v>
      </c>
      <c r="V35" s="27" t="s">
        <v>563</v>
      </c>
      <c r="W35" s="27" t="s">
        <v>564</v>
      </c>
      <c r="X35" s="27" t="s">
        <v>565</v>
      </c>
      <c r="Y35" s="27" t="s">
        <v>566</v>
      </c>
      <c r="Z35" s="27" t="s">
        <v>567</v>
      </c>
      <c r="AA35" s="27" t="s">
        <v>568</v>
      </c>
      <c r="AB35" s="27" t="s">
        <v>569</v>
      </c>
      <c r="AC35" s="27" t="s">
        <v>570</v>
      </c>
      <c r="AD35" s="27" t="s">
        <v>571</v>
      </c>
      <c r="AE35" s="27" t="s">
        <v>572</v>
      </c>
      <c r="AF35" s="27" t="s">
        <v>573</v>
      </c>
      <c r="AG35" s="27" t="s">
        <v>574</v>
      </c>
      <c r="AH35" s="27" t="s">
        <v>575</v>
      </c>
      <c r="AI35" s="27" t="s">
        <v>576</v>
      </c>
      <c r="AJ35" s="27" t="s">
        <v>577</v>
      </c>
      <c r="AK35" s="27" t="s">
        <v>578</v>
      </c>
      <c r="AL35" s="27" t="s">
        <v>579</v>
      </c>
      <c r="AM35" s="27" t="s">
        <v>580</v>
      </c>
      <c r="AN35" s="27" t="s">
        <v>581</v>
      </c>
      <c r="AO35" s="27" t="s">
        <v>582</v>
      </c>
      <c r="AP35" s="27" t="s">
        <v>583</v>
      </c>
      <c r="AQ35" s="27" t="s">
        <v>584</v>
      </c>
      <c r="AR35" s="27" t="s">
        <v>585</v>
      </c>
      <c r="AS35" s="27" t="s">
        <v>586</v>
      </c>
      <c r="AT35" s="27" t="s">
        <v>587</v>
      </c>
      <c r="AU35" s="27" t="s">
        <v>588</v>
      </c>
      <c r="AV35" s="27" t="s">
        <v>589</v>
      </c>
      <c r="AW35" s="27" t="s">
        <v>590</v>
      </c>
      <c r="AX35" s="27" t="s">
        <v>591</v>
      </c>
      <c r="AY35" s="27" t="s">
        <v>592</v>
      </c>
      <c r="AZ35" s="27" t="s">
        <v>593</v>
      </c>
      <c r="BA35" s="27" t="s">
        <v>594</v>
      </c>
      <c r="BB35" s="27" t="s">
        <v>595</v>
      </c>
      <c r="BC35" s="27" t="s">
        <v>596</v>
      </c>
      <c r="BD35" s="27" t="s">
        <v>597</v>
      </c>
      <c r="BE35" s="27" t="s">
        <v>598</v>
      </c>
      <c r="BF35" s="27" t="s">
        <v>599</v>
      </c>
      <c r="BG35" s="27" t="s">
        <v>600</v>
      </c>
      <c r="BH35" s="27" t="s">
        <v>601</v>
      </c>
      <c r="BI35" s="27" t="s">
        <v>602</v>
      </c>
      <c r="BJ35" s="27" t="s">
        <v>603</v>
      </c>
      <c r="BK35" s="27" t="s">
        <v>604</v>
      </c>
      <c r="BL35" s="27" t="s">
        <v>605</v>
      </c>
      <c r="BM35" s="27" t="s">
        <v>606</v>
      </c>
      <c r="BN35" s="27" t="s">
        <v>607</v>
      </c>
      <c r="BO35" s="27" t="s">
        <v>608</v>
      </c>
      <c r="BP35" s="27" t="s">
        <v>609</v>
      </c>
      <c r="BQ35" s="27" t="s">
        <v>610</v>
      </c>
      <c r="BR35" s="27" t="s">
        <v>611</v>
      </c>
      <c r="BS35" s="27" t="s">
        <v>612</v>
      </c>
      <c r="BT35" s="27" t="s">
        <v>613</v>
      </c>
      <c r="BU35" s="27" t="s">
        <v>614</v>
      </c>
      <c r="BV35" s="27" t="s">
        <v>615</v>
      </c>
      <c r="BW35" s="27" t="s">
        <v>616</v>
      </c>
      <c r="BX35" s="27" t="s">
        <v>617</v>
      </c>
      <c r="BY35" s="27" t="s">
        <v>618</v>
      </c>
      <c r="BZ35" s="27" t="s">
        <v>619</v>
      </c>
      <c r="CA35" s="27" t="s">
        <v>620</v>
      </c>
      <c r="CB35" s="27" t="s">
        <v>621</v>
      </c>
      <c r="CC35" s="27" t="s">
        <v>622</v>
      </c>
      <c r="CD35" s="27" t="s">
        <v>623</v>
      </c>
      <c r="CE35" s="27" t="s">
        <v>624</v>
      </c>
      <c r="CF35" s="27" t="s">
        <v>625</v>
      </c>
      <c r="CG35" s="27" t="s">
        <v>626</v>
      </c>
      <c r="CH35" s="27" t="s">
        <v>627</v>
      </c>
      <c r="CI35" s="27" t="s">
        <v>628</v>
      </c>
      <c r="CJ35" s="27" t="s">
        <v>629</v>
      </c>
      <c r="CK35" s="27" t="s">
        <v>630</v>
      </c>
      <c r="CL35" s="27" t="s">
        <v>631</v>
      </c>
      <c r="CM35" s="27" t="s">
        <v>632</v>
      </c>
      <c r="CN35" s="27" t="s">
        <v>633</v>
      </c>
      <c r="CO35" s="27" t="s">
        <v>634</v>
      </c>
      <c r="CP35" s="27" t="s">
        <v>635</v>
      </c>
      <c r="CQ35" s="27" t="s">
        <v>636</v>
      </c>
      <c r="CR35" s="27" t="s">
        <v>637</v>
      </c>
      <c r="CS35" s="27" t="s">
        <v>638</v>
      </c>
      <c r="CT35" s="27" t="s">
        <v>639</v>
      </c>
      <c r="CU35" s="27" t="s">
        <v>640</v>
      </c>
      <c r="CV35" s="27" t="s">
        <v>641</v>
      </c>
      <c r="CW35" s="27" t="s">
        <v>642</v>
      </c>
      <c r="CX35" s="27" t="s">
        <v>643</v>
      </c>
      <c r="CY35" s="27" t="s">
        <v>644</v>
      </c>
      <c r="CZ35" s="27" t="s">
        <v>645</v>
      </c>
    </row>
    <row r="36" spans="2:104">
      <c r="B36" s="28" t="s">
        <v>522</v>
      </c>
      <c r="C36" s="26" t="s">
        <v>547</v>
      </c>
      <c r="D36" s="26" t="s">
        <v>646</v>
      </c>
      <c r="F36" s="27" t="s">
        <v>417</v>
      </c>
      <c r="G36" s="27" t="s">
        <v>472</v>
      </c>
      <c r="H36" s="27" t="s">
        <v>497</v>
      </c>
      <c r="I36" s="27" t="s">
        <v>503</v>
      </c>
      <c r="J36" s="27" t="s">
        <v>510</v>
      </c>
      <c r="K36" s="27" t="s">
        <v>524</v>
      </c>
      <c r="L36" s="27" t="s">
        <v>552</v>
      </c>
      <c r="M36" s="27" t="s">
        <v>647</v>
      </c>
      <c r="N36" s="27" t="s">
        <v>648</v>
      </c>
      <c r="O36" s="27" t="s">
        <v>649</v>
      </c>
      <c r="P36" s="27" t="s">
        <v>650</v>
      </c>
      <c r="Q36" s="27" t="s">
        <v>651</v>
      </c>
      <c r="R36" s="27" t="s">
        <v>652</v>
      </c>
      <c r="S36" s="27" t="s">
        <v>653</v>
      </c>
      <c r="T36" s="27" t="s">
        <v>654</v>
      </c>
      <c r="U36" s="27" t="s">
        <v>655</v>
      </c>
      <c r="V36" s="27" t="s">
        <v>656</v>
      </c>
      <c r="W36" s="27" t="s">
        <v>657</v>
      </c>
      <c r="X36" s="27" t="s">
        <v>658</v>
      </c>
      <c r="Y36" s="27" t="s">
        <v>659</v>
      </c>
      <c r="Z36" s="27" t="s">
        <v>660</v>
      </c>
      <c r="AA36" s="27" t="s">
        <v>661</v>
      </c>
      <c r="AB36" s="27" t="s">
        <v>662</v>
      </c>
      <c r="AC36" s="27" t="s">
        <v>663</v>
      </c>
      <c r="AD36" s="27" t="s">
        <v>664</v>
      </c>
      <c r="AE36" s="27" t="s">
        <v>665</v>
      </c>
      <c r="AF36" s="27" t="s">
        <v>666</v>
      </c>
      <c r="AG36" s="27" t="s">
        <v>667</v>
      </c>
      <c r="AH36" s="27" t="s">
        <v>668</v>
      </c>
      <c r="AI36" s="27" t="s">
        <v>669</v>
      </c>
      <c r="AJ36" s="27" t="s">
        <v>670</v>
      </c>
      <c r="AK36" s="27" t="s">
        <v>671</v>
      </c>
      <c r="AL36" s="27" t="s">
        <v>672</v>
      </c>
      <c r="AM36" s="27" t="s">
        <v>673</v>
      </c>
      <c r="AN36" s="27" t="s">
        <v>674</v>
      </c>
      <c r="AO36" s="27" t="s">
        <v>675</v>
      </c>
      <c r="AP36" s="27" t="s">
        <v>676</v>
      </c>
      <c r="AQ36" s="27" t="s">
        <v>677</v>
      </c>
      <c r="AR36" s="27" t="s">
        <v>678</v>
      </c>
      <c r="AS36" s="27" t="s">
        <v>679</v>
      </c>
      <c r="AT36" s="27" t="s">
        <v>680</v>
      </c>
      <c r="AU36" s="27" t="s">
        <v>681</v>
      </c>
      <c r="AV36" s="27" t="s">
        <v>682</v>
      </c>
      <c r="AW36" s="27" t="s">
        <v>683</v>
      </c>
      <c r="AX36" s="27" t="s">
        <v>684</v>
      </c>
      <c r="AY36" s="27" t="s">
        <v>685</v>
      </c>
      <c r="AZ36" s="27" t="s">
        <v>686</v>
      </c>
      <c r="BA36" s="27" t="s">
        <v>687</v>
      </c>
      <c r="BB36" s="27" t="s">
        <v>688</v>
      </c>
      <c r="BC36" s="27" t="s">
        <v>689</v>
      </c>
      <c r="BD36" s="27" t="s">
        <v>690</v>
      </c>
      <c r="BE36" s="27" t="s">
        <v>691</v>
      </c>
      <c r="BF36" s="27" t="s">
        <v>692</v>
      </c>
      <c r="BG36" s="27" t="s">
        <v>693</v>
      </c>
      <c r="BH36" s="27" t="s">
        <v>694</v>
      </c>
      <c r="BI36" s="27" t="s">
        <v>695</v>
      </c>
      <c r="BJ36" s="27" t="s">
        <v>696</v>
      </c>
      <c r="BK36" s="27" t="s">
        <v>697</v>
      </c>
      <c r="BL36" s="27" t="s">
        <v>698</v>
      </c>
      <c r="BM36" s="27" t="s">
        <v>699</v>
      </c>
      <c r="BN36" s="27" t="s">
        <v>700</v>
      </c>
      <c r="BO36" s="27" t="s">
        <v>701</v>
      </c>
      <c r="BP36" s="27" t="s">
        <v>702</v>
      </c>
      <c r="BQ36" s="27" t="s">
        <v>703</v>
      </c>
      <c r="BR36" s="27" t="s">
        <v>704</v>
      </c>
      <c r="BS36" s="27" t="s">
        <v>705</v>
      </c>
      <c r="BT36" s="27" t="s">
        <v>706</v>
      </c>
      <c r="BU36" s="27" t="s">
        <v>707</v>
      </c>
      <c r="BV36" s="27" t="s">
        <v>708</v>
      </c>
      <c r="BW36" s="27" t="s">
        <v>709</v>
      </c>
      <c r="BX36" s="27" t="s">
        <v>710</v>
      </c>
      <c r="BY36" s="27" t="s">
        <v>711</v>
      </c>
      <c r="BZ36" s="27" t="s">
        <v>712</v>
      </c>
      <c r="CA36" s="27" t="s">
        <v>713</v>
      </c>
      <c r="CB36" s="27" t="s">
        <v>714</v>
      </c>
      <c r="CC36" s="27" t="s">
        <v>715</v>
      </c>
      <c r="CD36" s="27" t="s">
        <v>716</v>
      </c>
      <c r="CE36" s="27" t="s">
        <v>717</v>
      </c>
      <c r="CF36" s="27" t="s">
        <v>718</v>
      </c>
      <c r="CG36" s="27" t="s">
        <v>719</v>
      </c>
      <c r="CH36" s="27" t="s">
        <v>720</v>
      </c>
      <c r="CI36" s="27" t="s">
        <v>721</v>
      </c>
      <c r="CJ36" s="27" t="s">
        <v>722</v>
      </c>
      <c r="CK36" s="27" t="s">
        <v>723</v>
      </c>
      <c r="CL36" s="27" t="s">
        <v>724</v>
      </c>
      <c r="CM36" s="27" t="s">
        <v>725</v>
      </c>
      <c r="CN36" s="27" t="s">
        <v>726</v>
      </c>
      <c r="CO36" s="27" t="s">
        <v>727</v>
      </c>
      <c r="CP36" s="27" t="s">
        <v>728</v>
      </c>
      <c r="CQ36" s="27" t="s">
        <v>729</v>
      </c>
      <c r="CR36" s="27" t="s">
        <v>730</v>
      </c>
      <c r="CS36" s="27" t="s">
        <v>731</v>
      </c>
      <c r="CT36" s="27" t="s">
        <v>732</v>
      </c>
      <c r="CU36" s="27" t="s">
        <v>733</v>
      </c>
      <c r="CV36" s="27" t="s">
        <v>734</v>
      </c>
      <c r="CW36" s="27" t="s">
        <v>735</v>
      </c>
      <c r="CX36" s="27" t="s">
        <v>736</v>
      </c>
      <c r="CY36" s="27" t="s">
        <v>737</v>
      </c>
      <c r="CZ36" s="27"/>
    </row>
    <row r="37" spans="2:104">
      <c r="B37" s="28" t="s">
        <v>522</v>
      </c>
      <c r="C37" s="26" t="s">
        <v>547</v>
      </c>
      <c r="D37" s="26" t="s">
        <v>738</v>
      </c>
      <c r="F37" s="27" t="s">
        <v>436</v>
      </c>
      <c r="G37" s="27" t="s">
        <v>477</v>
      </c>
      <c r="H37" s="27" t="s">
        <v>499</v>
      </c>
      <c r="I37" s="27" t="s">
        <v>505</v>
      </c>
      <c r="J37" s="27" t="s">
        <v>512</v>
      </c>
      <c r="K37" s="27" t="s">
        <v>525</v>
      </c>
      <c r="L37" s="27" t="s">
        <v>646</v>
      </c>
      <c r="M37" s="27" t="s">
        <v>739</v>
      </c>
      <c r="N37" s="27" t="s">
        <v>740</v>
      </c>
      <c r="O37" s="27" t="s">
        <v>741</v>
      </c>
      <c r="P37" s="27" t="s">
        <v>742</v>
      </c>
      <c r="Q37" s="27" t="s">
        <v>743</v>
      </c>
      <c r="R37" s="27" t="s">
        <v>744</v>
      </c>
      <c r="S37" s="27" t="s">
        <v>745</v>
      </c>
      <c r="T37" s="27" t="s">
        <v>746</v>
      </c>
      <c r="U37" s="27" t="s">
        <v>747</v>
      </c>
      <c r="V37" s="27" t="s">
        <v>748</v>
      </c>
      <c r="W37" s="27" t="s">
        <v>749</v>
      </c>
      <c r="X37" s="27" t="s">
        <v>750</v>
      </c>
      <c r="Y37" s="27" t="s">
        <v>751</v>
      </c>
      <c r="Z37" s="27" t="s">
        <v>752</v>
      </c>
      <c r="AA37" s="27" t="s">
        <v>753</v>
      </c>
      <c r="AB37" s="27" t="s">
        <v>754</v>
      </c>
      <c r="AC37" s="27" t="s">
        <v>755</v>
      </c>
      <c r="AD37" s="27" t="s">
        <v>756</v>
      </c>
      <c r="AE37" s="27" t="s">
        <v>757</v>
      </c>
      <c r="AF37" s="27" t="s">
        <v>758</v>
      </c>
      <c r="AG37" s="27" t="s">
        <v>759</v>
      </c>
      <c r="AH37" s="27" t="s">
        <v>760</v>
      </c>
      <c r="AI37" s="27" t="s">
        <v>761</v>
      </c>
      <c r="AJ37" s="27" t="s">
        <v>762</v>
      </c>
      <c r="AK37" s="27" t="s">
        <v>763</v>
      </c>
      <c r="AL37" s="27"/>
      <c r="AM37" s="27"/>
      <c r="AN37" s="27"/>
      <c r="AO37" s="27" t="s">
        <v>764</v>
      </c>
      <c r="AP37" s="27" t="s">
        <v>765</v>
      </c>
      <c r="AQ37" s="27" t="s">
        <v>766</v>
      </c>
      <c r="AR37" s="27" t="s">
        <v>767</v>
      </c>
      <c r="AS37" s="27"/>
      <c r="AT37" s="27" t="s">
        <v>768</v>
      </c>
      <c r="AU37" s="27"/>
      <c r="AV37" s="27" t="s">
        <v>769</v>
      </c>
      <c r="AW37" s="27" t="s">
        <v>770</v>
      </c>
      <c r="AX37" s="27" t="s">
        <v>771</v>
      </c>
      <c r="AY37" s="27" t="s">
        <v>772</v>
      </c>
      <c r="AZ37" s="27" t="s">
        <v>773</v>
      </c>
      <c r="BA37" s="27" t="s">
        <v>774</v>
      </c>
      <c r="BB37" s="27"/>
      <c r="BC37" s="27"/>
      <c r="BD37" s="27" t="s">
        <v>775</v>
      </c>
      <c r="BE37" s="27" t="s">
        <v>776</v>
      </c>
      <c r="BF37" s="27" t="s">
        <v>777</v>
      </c>
      <c r="BG37" s="27" t="s">
        <v>778</v>
      </c>
      <c r="BH37" s="27" t="s">
        <v>779</v>
      </c>
      <c r="BI37" s="27" t="s">
        <v>780</v>
      </c>
      <c r="BJ37" s="27" t="s">
        <v>781</v>
      </c>
      <c r="BK37" s="27" t="s">
        <v>782</v>
      </c>
      <c r="BL37" s="27" t="s">
        <v>783</v>
      </c>
      <c r="BM37" s="27" t="s">
        <v>784</v>
      </c>
      <c r="BN37" s="27" t="s">
        <v>785</v>
      </c>
      <c r="BO37" s="27" t="s">
        <v>786</v>
      </c>
      <c r="BP37" s="27" t="s">
        <v>787</v>
      </c>
      <c r="BQ37" s="27" t="s">
        <v>788</v>
      </c>
      <c r="BR37" s="27" t="s">
        <v>789</v>
      </c>
      <c r="BS37" s="27" t="s">
        <v>790</v>
      </c>
      <c r="BT37" s="27" t="s">
        <v>791</v>
      </c>
      <c r="BU37" s="27" t="s">
        <v>792</v>
      </c>
      <c r="BV37" s="27" t="s">
        <v>793</v>
      </c>
      <c r="BW37" s="27" t="s">
        <v>794</v>
      </c>
      <c r="BX37" s="27" t="s">
        <v>795</v>
      </c>
      <c r="BY37" s="27" t="s">
        <v>796</v>
      </c>
      <c r="BZ37" s="27"/>
      <c r="CA37" s="27" t="s">
        <v>797</v>
      </c>
      <c r="CB37" s="27" t="s">
        <v>798</v>
      </c>
      <c r="CC37" s="27" t="s">
        <v>799</v>
      </c>
      <c r="CD37" s="27" t="s">
        <v>800</v>
      </c>
      <c r="CE37" s="27" t="s">
        <v>801</v>
      </c>
      <c r="CF37" s="27" t="s">
        <v>802</v>
      </c>
      <c r="CG37" s="27" t="s">
        <v>803</v>
      </c>
      <c r="CH37" s="27" t="s">
        <v>804</v>
      </c>
      <c r="CI37" s="27" t="s">
        <v>805</v>
      </c>
      <c r="CJ37" s="27" t="s">
        <v>806</v>
      </c>
      <c r="CK37" s="27" t="s">
        <v>807</v>
      </c>
      <c r="CL37" s="27" t="s">
        <v>808</v>
      </c>
      <c r="CM37" s="27" t="s">
        <v>809</v>
      </c>
      <c r="CN37" s="27" t="s">
        <v>810</v>
      </c>
      <c r="CO37" s="27" t="s">
        <v>811</v>
      </c>
      <c r="CP37" s="27"/>
      <c r="CQ37" s="27" t="s">
        <v>812</v>
      </c>
      <c r="CR37" s="27" t="s">
        <v>813</v>
      </c>
      <c r="CS37" s="27" t="s">
        <v>814</v>
      </c>
      <c r="CT37" s="27" t="s">
        <v>815</v>
      </c>
      <c r="CU37" s="27" t="s">
        <v>816</v>
      </c>
      <c r="CV37" s="27" t="s">
        <v>817</v>
      </c>
      <c r="CW37" s="27"/>
      <c r="CX37" s="27" t="s">
        <v>818</v>
      </c>
      <c r="CY37" s="27"/>
      <c r="CZ37" s="27"/>
    </row>
    <row r="38" spans="2:104">
      <c r="B38" s="28" t="s">
        <v>522</v>
      </c>
      <c r="C38" s="26" t="s">
        <v>547</v>
      </c>
      <c r="D38" s="26" t="s">
        <v>819</v>
      </c>
      <c r="F38" s="27" t="s">
        <v>450</v>
      </c>
      <c r="G38" s="27" t="s">
        <v>482</v>
      </c>
      <c r="H38" s="27"/>
      <c r="I38" s="27"/>
      <c r="J38" s="27" t="s">
        <v>514</v>
      </c>
      <c r="K38" s="27" t="s">
        <v>526</v>
      </c>
      <c r="L38" s="27" t="s">
        <v>738</v>
      </c>
      <c r="M38" s="27" t="s">
        <v>820</v>
      </c>
      <c r="N38" s="27" t="s">
        <v>821</v>
      </c>
      <c r="O38" s="27" t="s">
        <v>822</v>
      </c>
      <c r="P38" s="27" t="s">
        <v>823</v>
      </c>
      <c r="Q38" s="27" t="s">
        <v>824</v>
      </c>
      <c r="R38" s="27" t="s">
        <v>825</v>
      </c>
      <c r="S38" s="27" t="s">
        <v>826</v>
      </c>
      <c r="T38" s="27" t="s">
        <v>827</v>
      </c>
      <c r="U38" s="27" t="s">
        <v>828</v>
      </c>
      <c r="V38" s="27" t="s">
        <v>829</v>
      </c>
      <c r="W38" s="27" t="s">
        <v>830</v>
      </c>
      <c r="X38" s="27" t="s">
        <v>831</v>
      </c>
      <c r="Y38" s="27" t="s">
        <v>832</v>
      </c>
      <c r="Z38" s="27" t="s">
        <v>833</v>
      </c>
      <c r="AA38" s="27" t="s">
        <v>834</v>
      </c>
      <c r="AB38" s="27" t="s">
        <v>835</v>
      </c>
      <c r="AC38" s="27" t="s">
        <v>836</v>
      </c>
      <c r="AD38" s="27" t="s">
        <v>837</v>
      </c>
      <c r="AE38" s="27" t="s">
        <v>838</v>
      </c>
      <c r="AF38" s="27" t="s">
        <v>839</v>
      </c>
      <c r="AG38" s="27" t="s">
        <v>840</v>
      </c>
      <c r="AH38" s="27" t="s">
        <v>841</v>
      </c>
      <c r="AI38" s="27" t="s">
        <v>842</v>
      </c>
      <c r="AJ38" s="27" t="s">
        <v>843</v>
      </c>
      <c r="AK38" s="27" t="s">
        <v>844</v>
      </c>
      <c r="AL38" s="27"/>
      <c r="AM38" s="27"/>
      <c r="AN38" s="27"/>
      <c r="AO38" s="27" t="s">
        <v>845</v>
      </c>
      <c r="AP38" s="27" t="s">
        <v>846</v>
      </c>
      <c r="AQ38" s="27" t="s">
        <v>847</v>
      </c>
      <c r="AR38" s="27"/>
      <c r="AS38" s="27"/>
      <c r="AT38" s="27" t="s">
        <v>848</v>
      </c>
      <c r="AU38" s="27"/>
      <c r="AV38" s="27" t="s">
        <v>849</v>
      </c>
      <c r="AW38" s="27" t="s">
        <v>850</v>
      </c>
      <c r="AX38" s="27" t="s">
        <v>851</v>
      </c>
      <c r="AY38" s="27"/>
      <c r="AZ38" s="27"/>
      <c r="BA38" s="27" t="s">
        <v>852</v>
      </c>
      <c r="BB38" s="27"/>
      <c r="BC38" s="27"/>
      <c r="BD38" s="27" t="s">
        <v>853</v>
      </c>
      <c r="BE38" s="27"/>
      <c r="BF38" s="27" t="s">
        <v>854</v>
      </c>
      <c r="BG38" s="27" t="s">
        <v>855</v>
      </c>
      <c r="BH38" s="27" t="s">
        <v>856</v>
      </c>
      <c r="BI38" s="27" t="s">
        <v>857</v>
      </c>
      <c r="BJ38" s="27" t="s">
        <v>858</v>
      </c>
      <c r="BK38" s="27" t="s">
        <v>859</v>
      </c>
      <c r="BL38" s="27" t="s">
        <v>860</v>
      </c>
      <c r="BM38" s="27" t="s">
        <v>861</v>
      </c>
      <c r="BN38" s="27" t="s">
        <v>862</v>
      </c>
      <c r="BO38" s="27"/>
      <c r="BP38" s="27"/>
      <c r="BQ38" s="27" t="s">
        <v>863</v>
      </c>
      <c r="BR38" s="27"/>
      <c r="BS38" s="27" t="s">
        <v>864</v>
      </c>
      <c r="BT38" s="27" t="s">
        <v>865</v>
      </c>
      <c r="BU38" s="27"/>
      <c r="BV38" s="27" t="s">
        <v>866</v>
      </c>
      <c r="BW38" s="27" t="s">
        <v>867</v>
      </c>
      <c r="BX38" s="27"/>
      <c r="BY38" s="27" t="s">
        <v>868</v>
      </c>
      <c r="BZ38" s="27"/>
      <c r="CA38" s="27" t="s">
        <v>869</v>
      </c>
      <c r="CB38" s="27" t="s">
        <v>870</v>
      </c>
      <c r="CC38" s="27" t="s">
        <v>871</v>
      </c>
      <c r="CD38" s="27" t="s">
        <v>872</v>
      </c>
      <c r="CE38" s="27" t="s">
        <v>873</v>
      </c>
      <c r="CF38" s="27" t="s">
        <v>874</v>
      </c>
      <c r="CG38" s="27" t="s">
        <v>875</v>
      </c>
      <c r="CH38" s="27" t="s">
        <v>876</v>
      </c>
      <c r="CI38" s="27" t="s">
        <v>877</v>
      </c>
      <c r="CJ38" s="27" t="s">
        <v>878</v>
      </c>
      <c r="CK38" s="27" t="s">
        <v>879</v>
      </c>
      <c r="CL38" s="27" t="s">
        <v>880</v>
      </c>
      <c r="CM38" s="27"/>
      <c r="CN38" s="27">
        <v>1</v>
      </c>
      <c r="CO38" s="27" t="s">
        <v>881</v>
      </c>
      <c r="CP38" s="27"/>
      <c r="CQ38" s="27" t="s">
        <v>882</v>
      </c>
      <c r="CR38" s="27"/>
      <c r="CS38" s="27" t="s">
        <v>883</v>
      </c>
      <c r="CT38" s="27" t="s">
        <v>884</v>
      </c>
      <c r="CU38" s="27" t="s">
        <v>885</v>
      </c>
      <c r="CV38" s="27" t="s">
        <v>886</v>
      </c>
      <c r="CW38" s="27"/>
      <c r="CX38" s="27"/>
      <c r="CY38" s="27"/>
      <c r="CZ38" s="27"/>
    </row>
    <row r="39" spans="2:104">
      <c r="B39" s="26" t="s">
        <v>522</v>
      </c>
      <c r="C39" s="26" t="s">
        <v>547</v>
      </c>
      <c r="D39" s="26" t="s">
        <v>887</v>
      </c>
      <c r="F39" s="27" t="s">
        <v>459</v>
      </c>
      <c r="G39" s="27" t="s">
        <v>486</v>
      </c>
      <c r="H39" s="27"/>
      <c r="I39" s="27"/>
      <c r="J39" s="27" t="s">
        <v>516</v>
      </c>
      <c r="K39" s="27" t="s">
        <v>527</v>
      </c>
      <c r="L39" s="27" t="s">
        <v>819</v>
      </c>
      <c r="M39" s="27" t="s">
        <v>888</v>
      </c>
      <c r="N39" s="27" t="s">
        <v>889</v>
      </c>
      <c r="O39" s="27" t="s">
        <v>890</v>
      </c>
      <c r="P39" s="27" t="s">
        <v>891</v>
      </c>
      <c r="Q39" s="27" t="s">
        <v>892</v>
      </c>
      <c r="R39" s="27" t="s">
        <v>893</v>
      </c>
      <c r="S39" s="27" t="s">
        <v>894</v>
      </c>
      <c r="T39" s="27" t="s">
        <v>895</v>
      </c>
      <c r="U39" s="27" t="s">
        <v>896</v>
      </c>
      <c r="V39" s="27" t="s">
        <v>897</v>
      </c>
      <c r="W39" s="27" t="s">
        <v>898</v>
      </c>
      <c r="X39" s="27" t="s">
        <v>899</v>
      </c>
      <c r="Y39" s="27" t="s">
        <v>900</v>
      </c>
      <c r="Z39" s="27" t="s">
        <v>901</v>
      </c>
      <c r="AA39" s="27" t="s">
        <v>902</v>
      </c>
      <c r="AB39" s="27" t="s">
        <v>903</v>
      </c>
      <c r="AC39" s="27" t="s">
        <v>904</v>
      </c>
      <c r="AD39" s="27" t="s">
        <v>905</v>
      </c>
      <c r="AE39" s="27" t="s">
        <v>906</v>
      </c>
      <c r="AF39" s="27" t="s">
        <v>907</v>
      </c>
      <c r="AG39" s="27" t="s">
        <v>908</v>
      </c>
      <c r="AH39" s="27" t="s">
        <v>909</v>
      </c>
      <c r="AI39" s="27"/>
      <c r="AJ39" s="27" t="s">
        <v>910</v>
      </c>
      <c r="AK39" s="27" t="s">
        <v>911</v>
      </c>
      <c r="AL39" s="27"/>
      <c r="AM39" s="27"/>
      <c r="AN39" s="27"/>
      <c r="AO39" s="27"/>
      <c r="AP39" s="27"/>
      <c r="AQ39" s="27"/>
      <c r="AR39" s="27"/>
      <c r="AS39" s="27"/>
      <c r="AT39" s="27" t="s">
        <v>912</v>
      </c>
      <c r="AU39" s="27"/>
      <c r="AV39" s="27" t="s">
        <v>913</v>
      </c>
      <c r="AW39" s="27" t="s">
        <v>914</v>
      </c>
      <c r="AX39" s="27" t="s">
        <v>915</v>
      </c>
      <c r="AY39" s="27"/>
      <c r="AZ39" s="27"/>
      <c r="BA39" s="27" t="s">
        <v>916</v>
      </c>
      <c r="BB39" s="27"/>
      <c r="BC39" s="27"/>
      <c r="BD39" s="27"/>
      <c r="BE39" s="27"/>
      <c r="BF39" s="27" t="s">
        <v>917</v>
      </c>
      <c r="BG39" s="27" t="s">
        <v>918</v>
      </c>
      <c r="BH39" s="27" t="s">
        <v>919</v>
      </c>
      <c r="BI39" s="27" t="s">
        <v>920</v>
      </c>
      <c r="BJ39" s="27" t="s">
        <v>921</v>
      </c>
      <c r="BK39" s="27" t="s">
        <v>922</v>
      </c>
      <c r="BL39" s="27"/>
      <c r="BM39" s="27" t="s">
        <v>923</v>
      </c>
      <c r="BN39" s="27"/>
      <c r="BO39" s="27"/>
      <c r="BP39" s="27"/>
      <c r="BQ39" s="27" t="s">
        <v>924</v>
      </c>
      <c r="BR39" s="27"/>
      <c r="BS39" s="27"/>
      <c r="BT39" s="27" t="s">
        <v>925</v>
      </c>
      <c r="BU39" s="27"/>
      <c r="BV39" s="27" t="s">
        <v>926</v>
      </c>
      <c r="BW39" s="27" t="s">
        <v>927</v>
      </c>
      <c r="BX39" s="27"/>
      <c r="BY39" s="27" t="s">
        <v>928</v>
      </c>
      <c r="BZ39" s="27"/>
      <c r="CA39" s="27" t="s">
        <v>929</v>
      </c>
      <c r="CB39" s="27" t="s">
        <v>930</v>
      </c>
      <c r="CC39" s="27" t="s">
        <v>931</v>
      </c>
      <c r="CD39" s="27"/>
      <c r="CE39" s="27" t="s">
        <v>932</v>
      </c>
      <c r="CF39" s="27" t="s">
        <v>933</v>
      </c>
      <c r="CG39" s="27" t="s">
        <v>934</v>
      </c>
      <c r="CH39" s="27" t="s">
        <v>935</v>
      </c>
      <c r="CI39" s="27" t="s">
        <v>936</v>
      </c>
      <c r="CJ39" s="27" t="s">
        <v>937</v>
      </c>
      <c r="CK39" s="27"/>
      <c r="CL39" s="27" t="s">
        <v>938</v>
      </c>
      <c r="CM39" s="27"/>
      <c r="CN39" s="27"/>
      <c r="CO39" s="27"/>
      <c r="CP39" s="27"/>
      <c r="CQ39" s="27" t="s">
        <v>939</v>
      </c>
      <c r="CR39" s="27"/>
      <c r="CS39" s="27" t="s">
        <v>940</v>
      </c>
      <c r="CT39" s="27" t="s">
        <v>941</v>
      </c>
      <c r="CU39" s="27"/>
      <c r="CV39" s="27"/>
      <c r="CW39" s="27"/>
      <c r="CX39" s="27"/>
      <c r="CY39" s="27"/>
      <c r="CZ39" s="27"/>
    </row>
    <row r="40" spans="2:104">
      <c r="B40" s="28" t="s">
        <v>522</v>
      </c>
      <c r="C40" s="26" t="s">
        <v>547</v>
      </c>
      <c r="D40" s="26" t="s">
        <v>942</v>
      </c>
      <c r="F40" s="27"/>
      <c r="G40" s="27" t="s">
        <v>489</v>
      </c>
      <c r="H40" s="27"/>
      <c r="I40" s="27"/>
      <c r="J40" s="27" t="s">
        <v>518</v>
      </c>
      <c r="K40" s="27" t="s">
        <v>528</v>
      </c>
      <c r="L40" s="27" t="s">
        <v>887</v>
      </c>
      <c r="M40" s="27" t="s">
        <v>943</v>
      </c>
      <c r="N40" s="27" t="s">
        <v>944</v>
      </c>
      <c r="O40" s="27" t="s">
        <v>945</v>
      </c>
      <c r="P40" s="27" t="s">
        <v>946</v>
      </c>
      <c r="Q40" s="27"/>
      <c r="R40" s="27"/>
      <c r="S40" s="27" t="s">
        <v>947</v>
      </c>
      <c r="T40" s="27"/>
      <c r="U40" s="27" t="s">
        <v>948</v>
      </c>
      <c r="V40" s="27" t="s">
        <v>949</v>
      </c>
      <c r="W40" s="27" t="s">
        <v>950</v>
      </c>
      <c r="X40" s="27"/>
      <c r="Y40" s="27" t="s">
        <v>951</v>
      </c>
      <c r="Z40" s="27" t="s">
        <v>952</v>
      </c>
      <c r="AA40" s="27" t="s">
        <v>953</v>
      </c>
      <c r="AB40" s="27" t="s">
        <v>954</v>
      </c>
      <c r="AC40" s="27" t="s">
        <v>955</v>
      </c>
      <c r="AD40" s="27"/>
      <c r="AE40" s="27" t="s">
        <v>956</v>
      </c>
      <c r="AF40" s="27" t="s">
        <v>957</v>
      </c>
      <c r="AG40" s="27" t="s">
        <v>958</v>
      </c>
      <c r="AH40" s="27" t="s">
        <v>959</v>
      </c>
      <c r="AI40" s="27"/>
      <c r="AJ40" s="27" t="s">
        <v>960</v>
      </c>
      <c r="AK40" s="27" t="s">
        <v>961</v>
      </c>
      <c r="AL40" s="27"/>
      <c r="AM40" s="27"/>
      <c r="AN40" s="27"/>
      <c r="AO40" s="27"/>
      <c r="AP40" s="27"/>
      <c r="AQ40" s="27"/>
      <c r="AR40" s="27"/>
      <c r="AS40" s="27"/>
      <c r="AT40" s="27" t="s">
        <v>962</v>
      </c>
      <c r="AU40" s="27"/>
      <c r="AV40" s="27"/>
      <c r="AW40" s="27" t="s">
        <v>963</v>
      </c>
      <c r="AX40" s="27"/>
      <c r="AY40" s="27"/>
      <c r="AZ40" s="27"/>
      <c r="BA40" s="27" t="s">
        <v>964</v>
      </c>
      <c r="BB40" s="27"/>
      <c r="BC40" s="27"/>
      <c r="BD40" s="27"/>
      <c r="BE40" s="27"/>
      <c r="BF40" s="27" t="s">
        <v>965</v>
      </c>
      <c r="BG40" s="27"/>
      <c r="BH40" s="27"/>
      <c r="BI40" s="27" t="s">
        <v>966</v>
      </c>
      <c r="BJ40" s="27" t="s">
        <v>967</v>
      </c>
      <c r="BK40" s="27" t="s">
        <v>968</v>
      </c>
      <c r="BL40" s="27"/>
      <c r="BM40" s="27" t="s">
        <v>969</v>
      </c>
      <c r="BN40" s="27"/>
      <c r="BO40" s="27"/>
      <c r="BP40" s="27"/>
      <c r="BQ40" s="27"/>
      <c r="BR40" s="27"/>
      <c r="BS40" s="27"/>
      <c r="BT40" s="27" t="s">
        <v>970</v>
      </c>
      <c r="BU40" s="27"/>
      <c r="BV40" s="27"/>
      <c r="BW40" s="27" t="s">
        <v>971</v>
      </c>
      <c r="BX40" s="27"/>
      <c r="BY40" s="27" t="s">
        <v>972</v>
      </c>
      <c r="BZ40" s="27"/>
      <c r="CA40" s="27" t="s">
        <v>973</v>
      </c>
      <c r="CB40" s="27"/>
      <c r="CC40" s="27" t="s">
        <v>974</v>
      </c>
      <c r="CD40" s="27"/>
      <c r="CE40" s="27" t="s">
        <v>975</v>
      </c>
      <c r="CF40" s="27" t="s">
        <v>976</v>
      </c>
      <c r="CG40" s="27" t="s">
        <v>977</v>
      </c>
      <c r="CH40" s="27" t="s">
        <v>978</v>
      </c>
      <c r="CI40" s="27" t="s">
        <v>979</v>
      </c>
      <c r="CJ40" s="27" t="s">
        <v>980</v>
      </c>
      <c r="CK40" s="27"/>
      <c r="CL40" s="27" t="s">
        <v>981</v>
      </c>
      <c r="CM40" s="27"/>
      <c r="CN40" s="27"/>
      <c r="CO40" s="27"/>
      <c r="CP40" s="27"/>
      <c r="CQ40" s="27"/>
      <c r="CR40" s="27"/>
      <c r="CS40" s="27"/>
      <c r="CT40" s="27"/>
      <c r="CU40" s="27"/>
      <c r="CV40" s="27"/>
      <c r="CW40" s="27"/>
      <c r="CX40" s="27"/>
      <c r="CY40" s="27"/>
      <c r="CZ40" s="27"/>
    </row>
    <row r="41" spans="2:104">
      <c r="B41" s="28" t="s">
        <v>522</v>
      </c>
      <c r="C41" s="26" t="s">
        <v>547</v>
      </c>
      <c r="D41" s="26" t="s">
        <v>982</v>
      </c>
      <c r="F41" s="27"/>
      <c r="G41" s="27"/>
      <c r="H41" s="27"/>
      <c r="I41" s="27"/>
      <c r="J41" s="27" t="s">
        <v>520</v>
      </c>
      <c r="K41" s="27" t="s">
        <v>529</v>
      </c>
      <c r="L41" s="27" t="s">
        <v>942</v>
      </c>
      <c r="M41" s="27"/>
      <c r="N41" s="27" t="s">
        <v>983</v>
      </c>
      <c r="O41" s="27" t="s">
        <v>984</v>
      </c>
      <c r="P41" s="27" t="s">
        <v>985</v>
      </c>
      <c r="Q41" s="27"/>
      <c r="R41" s="27"/>
      <c r="S41" s="27" t="s">
        <v>986</v>
      </c>
      <c r="T41" s="27"/>
      <c r="U41" s="27" t="s">
        <v>987</v>
      </c>
      <c r="V41" s="27"/>
      <c r="W41" s="27" t="s">
        <v>988</v>
      </c>
      <c r="X41" s="27"/>
      <c r="Y41" s="27" t="s">
        <v>989</v>
      </c>
      <c r="Z41" s="27" t="s">
        <v>990</v>
      </c>
      <c r="AA41" s="27" t="s">
        <v>991</v>
      </c>
      <c r="AB41" s="27" t="s">
        <v>992</v>
      </c>
      <c r="AC41" s="27" t="s">
        <v>993</v>
      </c>
      <c r="AD41" s="27"/>
      <c r="AE41" s="27" t="s">
        <v>994</v>
      </c>
      <c r="AF41" s="27" t="s">
        <v>995</v>
      </c>
      <c r="AG41" s="27" t="s">
        <v>996</v>
      </c>
      <c r="AH41" s="27" t="s">
        <v>997</v>
      </c>
      <c r="AI41" s="27"/>
      <c r="AJ41" s="27" t="s">
        <v>998</v>
      </c>
      <c r="AK41" s="27" t="s">
        <v>999</v>
      </c>
      <c r="AL41" s="27"/>
      <c r="AM41" s="27"/>
      <c r="AN41" s="27"/>
      <c r="AO41" s="27"/>
      <c r="AP41" s="27"/>
      <c r="AQ41" s="27"/>
      <c r="AR41" s="27"/>
      <c r="AS41" s="27"/>
      <c r="AT41" s="27" t="s">
        <v>1000</v>
      </c>
      <c r="AU41" s="27"/>
      <c r="AV41" s="27"/>
      <c r="AW41" s="27"/>
      <c r="AX41" s="27"/>
      <c r="AY41" s="27"/>
      <c r="AZ41" s="27"/>
      <c r="BA41" s="27" t="s">
        <v>1001</v>
      </c>
      <c r="BB41" s="27"/>
      <c r="BC41" s="27"/>
      <c r="BD41" s="27"/>
      <c r="BE41" s="27"/>
      <c r="BF41" s="27" t="s">
        <v>1002</v>
      </c>
      <c r="BG41" s="27"/>
      <c r="BH41" s="27"/>
      <c r="BI41" s="27" t="s">
        <v>1003</v>
      </c>
      <c r="BJ41" s="27"/>
      <c r="BK41" s="27" t="s">
        <v>1004</v>
      </c>
      <c r="BL41" s="27"/>
      <c r="BM41" s="27" t="s">
        <v>1005</v>
      </c>
      <c r="BN41" s="27"/>
      <c r="BO41" s="27"/>
      <c r="BP41" s="27"/>
      <c r="BQ41" s="27"/>
      <c r="BR41" s="27"/>
      <c r="BS41" s="27"/>
      <c r="BT41" s="27"/>
      <c r="BU41" s="27"/>
      <c r="BV41" s="27"/>
      <c r="BW41" s="27" t="s">
        <v>1006</v>
      </c>
      <c r="BX41" s="27"/>
      <c r="BY41" s="27" t="s">
        <v>1007</v>
      </c>
      <c r="BZ41" s="27"/>
      <c r="CA41" s="27" t="s">
        <v>1008</v>
      </c>
      <c r="CB41" s="27"/>
      <c r="CC41" s="27" t="s">
        <v>1009</v>
      </c>
      <c r="CD41" s="27"/>
      <c r="CE41" s="27" t="s">
        <v>1010</v>
      </c>
      <c r="CF41" s="27" t="s">
        <v>1011</v>
      </c>
      <c r="CG41" s="27" t="s">
        <v>1012</v>
      </c>
      <c r="CH41" s="27" t="s">
        <v>1013</v>
      </c>
      <c r="CI41" s="27"/>
      <c r="CJ41" s="27" t="s">
        <v>1014</v>
      </c>
      <c r="CK41" s="27"/>
      <c r="CL41" s="27" t="s">
        <v>1015</v>
      </c>
      <c r="CM41" s="27"/>
      <c r="CN41" s="27"/>
      <c r="CO41" s="27"/>
      <c r="CP41" s="27"/>
      <c r="CQ41" s="27"/>
      <c r="CR41" s="27"/>
      <c r="CS41" s="27"/>
      <c r="CT41" s="27"/>
      <c r="CU41" s="27"/>
      <c r="CV41" s="27"/>
      <c r="CW41" s="27"/>
      <c r="CX41" s="27"/>
      <c r="CY41" s="27"/>
      <c r="CZ41" s="27"/>
    </row>
    <row r="42" spans="2:104">
      <c r="B42" s="28" t="s">
        <v>522</v>
      </c>
      <c r="C42" s="26" t="s">
        <v>547</v>
      </c>
      <c r="D42" s="26" t="s">
        <v>1016</v>
      </c>
      <c r="F42" s="27"/>
      <c r="G42" s="27"/>
      <c r="H42" s="27"/>
      <c r="I42" s="27"/>
      <c r="J42" s="27"/>
      <c r="K42" s="27"/>
      <c r="L42" s="27" t="s">
        <v>982</v>
      </c>
      <c r="M42" s="27"/>
      <c r="N42" s="27" t="s">
        <v>1017</v>
      </c>
      <c r="O42" s="27"/>
      <c r="P42" s="27" t="s">
        <v>1018</v>
      </c>
      <c r="Q42" s="27"/>
      <c r="R42" s="27"/>
      <c r="S42" s="27"/>
      <c r="T42" s="27"/>
      <c r="U42" s="27" t="s">
        <v>1019</v>
      </c>
      <c r="V42" s="27"/>
      <c r="W42" s="27"/>
      <c r="X42" s="27"/>
      <c r="Y42" s="27" t="s">
        <v>1020</v>
      </c>
      <c r="Z42" s="27" t="s">
        <v>1021</v>
      </c>
      <c r="AA42" s="27"/>
      <c r="AB42" s="27"/>
      <c r="AC42" s="27" t="s">
        <v>1022</v>
      </c>
      <c r="AD42" s="27"/>
      <c r="AE42" s="27" t="s">
        <v>1023</v>
      </c>
      <c r="AF42" s="27"/>
      <c r="AG42" s="27"/>
      <c r="AH42" s="27" t="s">
        <v>1024</v>
      </c>
      <c r="AI42" s="27"/>
      <c r="AJ42" s="27"/>
      <c r="AK42" s="27" t="s">
        <v>1025</v>
      </c>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t="s">
        <v>1026</v>
      </c>
      <c r="BJ42" s="27"/>
      <c r="BK42" s="27" t="s">
        <v>1027</v>
      </c>
      <c r="BL42" s="27"/>
      <c r="BM42" s="27" t="s">
        <v>1028</v>
      </c>
      <c r="BN42" s="27"/>
      <c r="BO42" s="27"/>
      <c r="BP42" s="27"/>
      <c r="BQ42" s="27"/>
      <c r="BR42" s="27"/>
      <c r="BS42" s="27"/>
      <c r="BT42" s="27"/>
      <c r="BU42" s="27"/>
      <c r="BV42" s="27"/>
      <c r="BW42" s="27"/>
      <c r="BX42" s="27"/>
      <c r="BY42" s="27" t="s">
        <v>1029</v>
      </c>
      <c r="BZ42" s="27"/>
      <c r="CA42" s="27" t="s">
        <v>1030</v>
      </c>
      <c r="CB42" s="27"/>
      <c r="CC42" s="27" t="s">
        <v>1031</v>
      </c>
      <c r="CD42" s="27"/>
      <c r="CE42" s="27"/>
      <c r="CF42" s="27"/>
      <c r="CG42" s="27" t="s">
        <v>1032</v>
      </c>
      <c r="CH42" s="27" t="s">
        <v>1033</v>
      </c>
      <c r="CI42" s="27"/>
      <c r="CJ42" s="27"/>
      <c r="CK42" s="27"/>
      <c r="CL42" s="27"/>
      <c r="CM42" s="27"/>
      <c r="CN42" s="27"/>
      <c r="CO42" s="27"/>
      <c r="CP42" s="27"/>
      <c r="CQ42" s="27"/>
      <c r="CR42" s="27"/>
      <c r="CS42" s="27"/>
      <c r="CT42" s="27"/>
      <c r="CU42" s="27"/>
      <c r="CV42" s="27"/>
      <c r="CW42" s="27"/>
      <c r="CX42" s="27"/>
      <c r="CY42" s="27"/>
      <c r="CZ42" s="27"/>
    </row>
    <row r="43" spans="2:104">
      <c r="B43" s="28" t="s">
        <v>522</v>
      </c>
      <c r="C43" s="26" t="s">
        <v>547</v>
      </c>
      <c r="D43" s="26" t="s">
        <v>1034</v>
      </c>
      <c r="F43" s="27"/>
      <c r="G43" s="27"/>
      <c r="H43" s="27"/>
      <c r="I43" s="27"/>
      <c r="J43" s="27"/>
      <c r="K43" s="27"/>
      <c r="L43" s="27" t="s">
        <v>1016</v>
      </c>
      <c r="M43" s="27"/>
      <c r="N43" s="27" t="s">
        <v>1035</v>
      </c>
      <c r="O43" s="27"/>
      <c r="P43" s="27" t="s">
        <v>1036</v>
      </c>
      <c r="Q43" s="27"/>
      <c r="R43" s="27"/>
      <c r="S43" s="27"/>
      <c r="T43" s="27"/>
      <c r="U43" s="27"/>
      <c r="V43" s="27"/>
      <c r="W43" s="27"/>
      <c r="X43" s="27"/>
      <c r="Y43" s="27" t="s">
        <v>1037</v>
      </c>
      <c r="Z43" s="27" t="s">
        <v>1038</v>
      </c>
      <c r="AA43" s="27"/>
      <c r="AB43" s="27"/>
      <c r="AC43" s="27" t="s">
        <v>1039</v>
      </c>
      <c r="AD43" s="27"/>
      <c r="AE43" s="27" t="s">
        <v>1040</v>
      </c>
      <c r="AF43" s="27"/>
      <c r="AG43" s="27"/>
      <c r="AH43" s="27" t="s">
        <v>1041</v>
      </c>
      <c r="AI43" s="27"/>
      <c r="AJ43" s="27"/>
      <c r="AK43" s="27" t="s">
        <v>1042</v>
      </c>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t="s">
        <v>1043</v>
      </c>
      <c r="BN43" s="27"/>
      <c r="BO43" s="27"/>
      <c r="BP43" s="27"/>
      <c r="BQ43" s="27"/>
      <c r="BR43" s="27"/>
      <c r="BS43" s="27"/>
      <c r="BT43" s="27"/>
      <c r="BU43" s="27"/>
      <c r="BV43" s="27"/>
      <c r="BW43" s="27"/>
      <c r="BX43" s="27"/>
      <c r="BY43" s="27" t="s">
        <v>1044</v>
      </c>
      <c r="BZ43" s="27"/>
      <c r="CA43" s="27"/>
      <c r="CB43" s="27"/>
      <c r="CC43" s="27" t="s">
        <v>1045</v>
      </c>
      <c r="CD43" s="27"/>
      <c r="CE43" s="27"/>
      <c r="CF43" s="27"/>
      <c r="CG43" s="27"/>
      <c r="CH43" s="27" t="s">
        <v>1046</v>
      </c>
      <c r="CI43" s="27"/>
      <c r="CJ43" s="27"/>
      <c r="CK43" s="27"/>
      <c r="CL43" s="27"/>
      <c r="CM43" s="27"/>
      <c r="CN43" s="27"/>
      <c r="CO43" s="27"/>
      <c r="CP43" s="27"/>
      <c r="CQ43" s="27"/>
      <c r="CR43" s="27"/>
      <c r="CS43" s="27"/>
      <c r="CT43" s="27"/>
      <c r="CU43" s="27"/>
      <c r="CV43" s="27"/>
      <c r="CW43" s="27"/>
      <c r="CX43" s="27"/>
      <c r="CY43" s="27"/>
      <c r="CZ43" s="27"/>
    </row>
    <row r="44" spans="2:104">
      <c r="B44" s="26" t="s">
        <v>522</v>
      </c>
      <c r="C44" s="26" t="s">
        <v>437</v>
      </c>
      <c r="D44" s="26" t="s">
        <v>554</v>
      </c>
      <c r="F44" s="27"/>
      <c r="G44" s="27"/>
      <c r="H44" s="27"/>
      <c r="I44" s="27"/>
      <c r="J44" s="27"/>
      <c r="K44" s="27"/>
      <c r="L44" s="27" t="s">
        <v>1034</v>
      </c>
      <c r="M44" s="27"/>
      <c r="N44" s="27" t="s">
        <v>1047</v>
      </c>
      <c r="O44" s="27"/>
      <c r="P44" s="27" t="s">
        <v>1048</v>
      </c>
      <c r="Q44" s="27"/>
      <c r="R44" s="27"/>
      <c r="S44" s="27"/>
      <c r="T44" s="27"/>
      <c r="U44" s="27"/>
      <c r="V44" s="27"/>
      <c r="W44" s="27"/>
      <c r="X44" s="27"/>
      <c r="Y44" s="27" t="s">
        <v>1049</v>
      </c>
      <c r="Z44" s="27" t="s">
        <v>1050</v>
      </c>
      <c r="AA44" s="27"/>
      <c r="AB44" s="27"/>
      <c r="AC44" s="27" t="s">
        <v>1051</v>
      </c>
      <c r="AD44" s="27"/>
      <c r="AE44" s="27"/>
      <c r="AF44" s="27"/>
      <c r="AG44" s="27"/>
      <c r="AH44" s="27"/>
      <c r="AI44" s="27"/>
      <c r="AJ44" s="27"/>
      <c r="AK44" s="27" t="s">
        <v>1052</v>
      </c>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t="s">
        <v>1053</v>
      </c>
      <c r="BN44" s="27"/>
      <c r="BO44" s="27"/>
      <c r="BP44" s="27"/>
      <c r="BQ44" s="27"/>
      <c r="BR44" s="27"/>
      <c r="BS44" s="27"/>
      <c r="BT44" s="27"/>
      <c r="BU44" s="27"/>
      <c r="BV44" s="27"/>
      <c r="BW44" s="27"/>
      <c r="BX44" s="27"/>
      <c r="BY44" s="27" t="s">
        <v>1054</v>
      </c>
      <c r="BZ44" s="27"/>
      <c r="CA44" s="27"/>
      <c r="CB44" s="27"/>
      <c r="CC44" s="27"/>
      <c r="CD44" s="27"/>
      <c r="CE44" s="27"/>
      <c r="CF44" s="27"/>
      <c r="CG44" s="27"/>
      <c r="CH44" s="27" t="s">
        <v>1055</v>
      </c>
      <c r="CI44" s="27"/>
      <c r="CJ44" s="27"/>
      <c r="CK44" s="27"/>
      <c r="CL44" s="27"/>
      <c r="CM44" s="27"/>
      <c r="CN44" s="27"/>
      <c r="CO44" s="27"/>
      <c r="CP44" s="27"/>
      <c r="CQ44" s="27"/>
      <c r="CR44" s="27"/>
      <c r="CS44" s="27"/>
      <c r="CT44" s="27"/>
      <c r="CU44" s="27"/>
      <c r="CV44" s="27"/>
      <c r="CW44" s="27"/>
      <c r="CX44" s="27"/>
      <c r="CY44" s="27"/>
      <c r="CZ44" s="27"/>
    </row>
    <row r="45" spans="2:104">
      <c r="B45" s="28" t="s">
        <v>522</v>
      </c>
      <c r="C45" s="26" t="s">
        <v>437</v>
      </c>
      <c r="D45" s="26" t="s">
        <v>647</v>
      </c>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row>
    <row r="46" spans="2:104">
      <c r="B46" s="28" t="s">
        <v>522</v>
      </c>
      <c r="C46" s="26" t="s">
        <v>437</v>
      </c>
      <c r="D46" s="26" t="s">
        <v>739</v>
      </c>
    </row>
    <row r="47" spans="2:104">
      <c r="B47" s="28" t="s">
        <v>522</v>
      </c>
      <c r="C47" s="26" t="s">
        <v>437</v>
      </c>
      <c r="D47" s="26" t="s">
        <v>820</v>
      </c>
    </row>
    <row r="48" spans="2:104">
      <c r="B48" s="28" t="s">
        <v>522</v>
      </c>
      <c r="C48" s="26" t="s">
        <v>437</v>
      </c>
      <c r="D48" s="26" t="s">
        <v>888</v>
      </c>
    </row>
    <row r="49" spans="2:104">
      <c r="B49" s="28" t="s">
        <v>522</v>
      </c>
      <c r="C49" s="26" t="s">
        <v>437</v>
      </c>
      <c r="D49" s="26" t="s">
        <v>943</v>
      </c>
    </row>
    <row r="50" spans="2:104">
      <c r="B50" s="27" t="s">
        <v>531</v>
      </c>
      <c r="C50" s="26" t="s">
        <v>401</v>
      </c>
      <c r="D50" s="26" t="s">
        <v>555</v>
      </c>
    </row>
    <row r="51" spans="2:104">
      <c r="B51" s="28" t="s">
        <v>531</v>
      </c>
      <c r="C51" s="26" t="s">
        <v>401</v>
      </c>
      <c r="D51" s="26" t="s">
        <v>648</v>
      </c>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row>
    <row r="52" spans="2:104">
      <c r="B52" s="26" t="s">
        <v>531</v>
      </c>
      <c r="C52" s="26" t="s">
        <v>401</v>
      </c>
      <c r="D52" s="26" t="s">
        <v>740</v>
      </c>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row>
    <row r="53" spans="2:104">
      <c r="B53" s="28" t="s">
        <v>531</v>
      </c>
      <c r="C53" s="26" t="s">
        <v>401</v>
      </c>
      <c r="D53" s="26" t="s">
        <v>821</v>
      </c>
    </row>
    <row r="54" spans="2:104">
      <c r="B54" s="28" t="s">
        <v>531</v>
      </c>
      <c r="C54" s="26" t="s">
        <v>401</v>
      </c>
      <c r="D54" s="26" t="s">
        <v>889</v>
      </c>
    </row>
    <row r="55" spans="2:104">
      <c r="B55" s="28" t="s">
        <v>531</v>
      </c>
      <c r="C55" s="26" t="s">
        <v>401</v>
      </c>
      <c r="D55" s="26" t="s">
        <v>944</v>
      </c>
    </row>
    <row r="56" spans="2:104">
      <c r="B56" s="28" t="s">
        <v>531</v>
      </c>
      <c r="C56" s="26" t="s">
        <v>401</v>
      </c>
      <c r="D56" s="26" t="s">
        <v>983</v>
      </c>
    </row>
    <row r="57" spans="2:104">
      <c r="B57" s="28" t="s">
        <v>531</v>
      </c>
      <c r="C57" s="26" t="s">
        <v>401</v>
      </c>
      <c r="D57" s="26" t="s">
        <v>1017</v>
      </c>
    </row>
    <row r="58" spans="2:104">
      <c r="B58" s="28" t="s">
        <v>531</v>
      </c>
      <c r="C58" s="26" t="s">
        <v>401</v>
      </c>
      <c r="D58" s="26" t="s">
        <v>1035</v>
      </c>
    </row>
    <row r="59" spans="2:104">
      <c r="B59" s="28" t="s">
        <v>531</v>
      </c>
      <c r="C59" s="26" t="s">
        <v>401</v>
      </c>
      <c r="D59" s="26" t="s">
        <v>1047</v>
      </c>
    </row>
    <row r="60" spans="2:104">
      <c r="B60" s="28" t="s">
        <v>531</v>
      </c>
      <c r="C60" s="26" t="s">
        <v>421</v>
      </c>
      <c r="D60" s="26" t="s">
        <v>556</v>
      </c>
    </row>
    <row r="61" spans="2:104">
      <c r="B61" s="28" t="s">
        <v>531</v>
      </c>
      <c r="C61" s="26" t="s">
        <v>421</v>
      </c>
      <c r="D61" s="26" t="s">
        <v>649</v>
      </c>
    </row>
    <row r="62" spans="2:104">
      <c r="B62" s="28" t="s">
        <v>531</v>
      </c>
      <c r="C62" s="26" t="s">
        <v>421</v>
      </c>
      <c r="D62" s="26" t="s">
        <v>741</v>
      </c>
    </row>
    <row r="63" spans="2:104">
      <c r="B63" s="28" t="s">
        <v>531</v>
      </c>
      <c r="C63" s="26" t="s">
        <v>421</v>
      </c>
      <c r="D63" s="26" t="s">
        <v>822</v>
      </c>
    </row>
    <row r="64" spans="2:104">
      <c r="B64" s="26" t="s">
        <v>531</v>
      </c>
      <c r="C64" s="26" t="s">
        <v>421</v>
      </c>
      <c r="D64" s="26" t="s">
        <v>890</v>
      </c>
    </row>
    <row r="65" spans="2:4">
      <c r="B65" s="28" t="s">
        <v>531</v>
      </c>
      <c r="C65" s="26" t="s">
        <v>421</v>
      </c>
      <c r="D65" s="26" t="s">
        <v>945</v>
      </c>
    </row>
    <row r="66" spans="2:4">
      <c r="B66" s="28" t="s">
        <v>531</v>
      </c>
      <c r="C66" s="26" t="s">
        <v>421</v>
      </c>
      <c r="D66" s="26" t="s">
        <v>984</v>
      </c>
    </row>
    <row r="67" spans="2:4">
      <c r="B67" s="28" t="s">
        <v>531</v>
      </c>
      <c r="C67" s="26" t="s">
        <v>438</v>
      </c>
      <c r="D67" s="26" t="s">
        <v>557</v>
      </c>
    </row>
    <row r="68" spans="2:4">
      <c r="B68" s="28" t="s">
        <v>531</v>
      </c>
      <c r="C68" s="26" t="s">
        <v>438</v>
      </c>
      <c r="D68" s="26" t="s">
        <v>650</v>
      </c>
    </row>
    <row r="69" spans="2:4">
      <c r="B69" s="28" t="s">
        <v>531</v>
      </c>
      <c r="C69" s="26" t="s">
        <v>438</v>
      </c>
      <c r="D69" s="26" t="s">
        <v>742</v>
      </c>
    </row>
    <row r="70" spans="2:4">
      <c r="B70" s="26" t="s">
        <v>531</v>
      </c>
      <c r="C70" s="26" t="s">
        <v>438</v>
      </c>
      <c r="D70" s="26" t="s">
        <v>823</v>
      </c>
    </row>
    <row r="71" spans="2:4">
      <c r="B71" s="28" t="s">
        <v>531</v>
      </c>
      <c r="C71" s="26" t="s">
        <v>438</v>
      </c>
      <c r="D71" s="26" t="s">
        <v>891</v>
      </c>
    </row>
    <row r="72" spans="2:4">
      <c r="B72" s="28" t="s">
        <v>531</v>
      </c>
      <c r="C72" s="26" t="s">
        <v>438</v>
      </c>
      <c r="D72" s="26" t="s">
        <v>946</v>
      </c>
    </row>
    <row r="73" spans="2:4">
      <c r="B73" s="26" t="s">
        <v>531</v>
      </c>
      <c r="C73" s="26" t="s">
        <v>438</v>
      </c>
      <c r="D73" s="26" t="s">
        <v>985</v>
      </c>
    </row>
    <row r="74" spans="2:4">
      <c r="B74" s="28" t="s">
        <v>531</v>
      </c>
      <c r="C74" s="26" t="s">
        <v>438</v>
      </c>
      <c r="D74" s="26" t="s">
        <v>1018</v>
      </c>
    </row>
    <row r="75" spans="2:4">
      <c r="B75" s="28" t="s">
        <v>531</v>
      </c>
      <c r="C75" s="26" t="s">
        <v>438</v>
      </c>
      <c r="D75" s="26" t="s">
        <v>1036</v>
      </c>
    </row>
    <row r="76" spans="2:4">
      <c r="B76" s="28" t="s">
        <v>531</v>
      </c>
      <c r="C76" s="26" t="s">
        <v>438</v>
      </c>
      <c r="D76" s="26" t="s">
        <v>1048</v>
      </c>
    </row>
    <row r="77" spans="2:4">
      <c r="B77" s="26" t="s">
        <v>531</v>
      </c>
      <c r="C77" s="26" t="s">
        <v>1056</v>
      </c>
      <c r="D77" s="26" t="s">
        <v>558</v>
      </c>
    </row>
    <row r="78" spans="2:4">
      <c r="B78" s="28" t="s">
        <v>531</v>
      </c>
      <c r="C78" s="26" t="s">
        <v>1056</v>
      </c>
      <c r="D78" s="26" t="s">
        <v>651</v>
      </c>
    </row>
    <row r="79" spans="2:4">
      <c r="B79" s="28" t="s">
        <v>531</v>
      </c>
      <c r="C79" s="26" t="s">
        <v>1056</v>
      </c>
      <c r="D79" s="26" t="s">
        <v>743</v>
      </c>
    </row>
    <row r="80" spans="2:4">
      <c r="B80" s="26" t="s">
        <v>531</v>
      </c>
      <c r="C80" s="26" t="s">
        <v>1056</v>
      </c>
      <c r="D80" s="26" t="s">
        <v>824</v>
      </c>
    </row>
    <row r="81" spans="2:4">
      <c r="B81" s="28" t="s">
        <v>531</v>
      </c>
      <c r="C81" s="26" t="s">
        <v>1056</v>
      </c>
      <c r="D81" s="26" t="s">
        <v>892</v>
      </c>
    </row>
    <row r="82" spans="2:4">
      <c r="B82" s="28" t="s">
        <v>531</v>
      </c>
      <c r="C82" s="26" t="s">
        <v>460</v>
      </c>
      <c r="D82" s="26" t="s">
        <v>559</v>
      </c>
    </row>
    <row r="83" spans="2:4">
      <c r="B83" s="26" t="s">
        <v>531</v>
      </c>
      <c r="C83" s="26" t="s">
        <v>460</v>
      </c>
      <c r="D83" s="26" t="s">
        <v>652</v>
      </c>
    </row>
    <row r="84" spans="2:4">
      <c r="B84" s="28" t="s">
        <v>531</v>
      </c>
      <c r="C84" s="26" t="s">
        <v>460</v>
      </c>
      <c r="D84" s="26" t="s">
        <v>744</v>
      </c>
    </row>
    <row r="85" spans="2:4">
      <c r="B85" s="26" t="s">
        <v>531</v>
      </c>
      <c r="C85" s="26" t="s">
        <v>460</v>
      </c>
      <c r="D85" s="26" t="s">
        <v>825</v>
      </c>
    </row>
    <row r="86" spans="2:4">
      <c r="B86" s="28" t="s">
        <v>531</v>
      </c>
      <c r="C86" s="26" t="s">
        <v>460</v>
      </c>
      <c r="D86" s="26" t="s">
        <v>893</v>
      </c>
    </row>
    <row r="87" spans="2:4">
      <c r="B87" s="28" t="s">
        <v>531</v>
      </c>
      <c r="C87" s="26" t="s">
        <v>467</v>
      </c>
      <c r="D87" s="26" t="s">
        <v>560</v>
      </c>
    </row>
    <row r="88" spans="2:4">
      <c r="B88" s="26" t="s">
        <v>531</v>
      </c>
      <c r="C88" s="26" t="s">
        <v>467</v>
      </c>
      <c r="D88" s="26" t="s">
        <v>653</v>
      </c>
    </row>
    <row r="89" spans="2:4">
      <c r="B89" s="28" t="s">
        <v>531</v>
      </c>
      <c r="C89" s="26" t="s">
        <v>467</v>
      </c>
      <c r="D89" s="26" t="s">
        <v>745</v>
      </c>
    </row>
    <row r="90" spans="2:4">
      <c r="B90" s="26" t="s">
        <v>531</v>
      </c>
      <c r="C90" s="26" t="s">
        <v>467</v>
      </c>
      <c r="D90" s="26" t="s">
        <v>826</v>
      </c>
    </row>
    <row r="91" spans="2:4">
      <c r="B91" s="28" t="s">
        <v>531</v>
      </c>
      <c r="C91" s="26" t="s">
        <v>467</v>
      </c>
      <c r="D91" s="26" t="s">
        <v>894</v>
      </c>
    </row>
    <row r="92" spans="2:4">
      <c r="B92" s="28" t="s">
        <v>531</v>
      </c>
      <c r="C92" s="26" t="s">
        <v>467</v>
      </c>
      <c r="D92" s="26" t="s">
        <v>947</v>
      </c>
    </row>
    <row r="93" spans="2:4">
      <c r="B93" s="28" t="s">
        <v>531</v>
      </c>
      <c r="C93" s="26" t="s">
        <v>467</v>
      </c>
      <c r="D93" s="26" t="s">
        <v>986</v>
      </c>
    </row>
    <row r="94" spans="2:4">
      <c r="B94" s="28" t="s">
        <v>531</v>
      </c>
      <c r="C94" s="26" t="s">
        <v>473</v>
      </c>
      <c r="D94" s="26" t="s">
        <v>561</v>
      </c>
    </row>
    <row r="95" spans="2:4">
      <c r="B95" s="28" t="s">
        <v>531</v>
      </c>
      <c r="C95" s="26" t="s">
        <v>473</v>
      </c>
      <c r="D95" s="26" t="s">
        <v>654</v>
      </c>
    </row>
    <row r="96" spans="2:4">
      <c r="B96" s="28" t="s">
        <v>531</v>
      </c>
      <c r="C96" s="26" t="s">
        <v>473</v>
      </c>
      <c r="D96" s="26" t="s">
        <v>746</v>
      </c>
    </row>
    <row r="97" spans="2:4">
      <c r="B97" s="28" t="s">
        <v>531</v>
      </c>
      <c r="C97" s="26" t="s">
        <v>473</v>
      </c>
      <c r="D97" s="26" t="s">
        <v>827</v>
      </c>
    </row>
    <row r="98" spans="2:4">
      <c r="B98" s="28" t="s">
        <v>531</v>
      </c>
      <c r="C98" s="26" t="s">
        <v>473</v>
      </c>
      <c r="D98" s="26" t="s">
        <v>895</v>
      </c>
    </row>
    <row r="99" spans="2:4">
      <c r="B99" s="26" t="s">
        <v>531</v>
      </c>
      <c r="C99" s="26" t="s">
        <v>478</v>
      </c>
      <c r="D99" s="26" t="s">
        <v>562</v>
      </c>
    </row>
    <row r="100" spans="2:4">
      <c r="B100" s="28" t="s">
        <v>531</v>
      </c>
      <c r="C100" s="26" t="s">
        <v>478</v>
      </c>
      <c r="D100" s="26" t="s">
        <v>655</v>
      </c>
    </row>
    <row r="101" spans="2:4">
      <c r="B101" s="26" t="s">
        <v>531</v>
      </c>
      <c r="C101" s="26" t="s">
        <v>478</v>
      </c>
      <c r="D101" s="26" t="s">
        <v>747</v>
      </c>
    </row>
    <row r="102" spans="2:4">
      <c r="B102" s="26" t="s">
        <v>531</v>
      </c>
      <c r="C102" s="26" t="s">
        <v>478</v>
      </c>
      <c r="D102" s="26" t="s">
        <v>828</v>
      </c>
    </row>
    <row r="103" spans="2:4">
      <c r="B103" s="26" t="s">
        <v>531</v>
      </c>
      <c r="C103" s="26" t="s">
        <v>478</v>
      </c>
      <c r="D103" s="26" t="s">
        <v>896</v>
      </c>
    </row>
    <row r="104" spans="2:4">
      <c r="B104" s="26" t="s">
        <v>531</v>
      </c>
      <c r="C104" s="26" t="s">
        <v>478</v>
      </c>
      <c r="D104" s="26" t="s">
        <v>948</v>
      </c>
    </row>
    <row r="105" spans="2:4">
      <c r="B105" s="26" t="s">
        <v>531</v>
      </c>
      <c r="C105" s="26" t="s">
        <v>478</v>
      </c>
      <c r="D105" s="26" t="s">
        <v>987</v>
      </c>
    </row>
    <row r="106" spans="2:4">
      <c r="B106" s="26" t="s">
        <v>531</v>
      </c>
      <c r="C106" s="26" t="s">
        <v>478</v>
      </c>
      <c r="D106" s="26" t="s">
        <v>1019</v>
      </c>
    </row>
    <row r="107" spans="2:4">
      <c r="B107" s="26" t="s">
        <v>531</v>
      </c>
      <c r="C107" s="26" t="s">
        <v>483</v>
      </c>
      <c r="D107" s="26" t="s">
        <v>563</v>
      </c>
    </row>
    <row r="108" spans="2:4">
      <c r="B108" s="26" t="s">
        <v>531</v>
      </c>
      <c r="C108" s="26" t="s">
        <v>483</v>
      </c>
      <c r="D108" s="26" t="s">
        <v>656</v>
      </c>
    </row>
    <row r="109" spans="2:4">
      <c r="B109" s="26" t="s">
        <v>531</v>
      </c>
      <c r="C109" s="26" t="s">
        <v>483</v>
      </c>
      <c r="D109" s="26" t="s">
        <v>748</v>
      </c>
    </row>
    <row r="110" spans="2:4">
      <c r="B110" s="26" t="s">
        <v>531</v>
      </c>
      <c r="C110" s="26" t="s">
        <v>483</v>
      </c>
      <c r="D110" s="26" t="s">
        <v>829</v>
      </c>
    </row>
    <row r="111" spans="2:4">
      <c r="B111" s="26" t="s">
        <v>531</v>
      </c>
      <c r="C111" s="26" t="s">
        <v>483</v>
      </c>
      <c r="D111" s="26" t="s">
        <v>897</v>
      </c>
    </row>
    <row r="112" spans="2:4">
      <c r="B112" s="26" t="s">
        <v>531</v>
      </c>
      <c r="C112" s="26" t="s">
        <v>483</v>
      </c>
      <c r="D112" s="26" t="s">
        <v>949</v>
      </c>
    </row>
    <row r="113" spans="2:4">
      <c r="B113" s="26" t="s">
        <v>531</v>
      </c>
      <c r="C113" s="26" t="s">
        <v>1057</v>
      </c>
      <c r="D113" s="26" t="s">
        <v>564</v>
      </c>
    </row>
    <row r="114" spans="2:4">
      <c r="B114" s="26" t="s">
        <v>531</v>
      </c>
      <c r="C114" s="26" t="s">
        <v>1057</v>
      </c>
      <c r="D114" s="26" t="s">
        <v>657</v>
      </c>
    </row>
    <row r="115" spans="2:4">
      <c r="B115" s="26" t="s">
        <v>531</v>
      </c>
      <c r="C115" s="26" t="s">
        <v>1057</v>
      </c>
      <c r="D115" s="26" t="s">
        <v>749</v>
      </c>
    </row>
    <row r="116" spans="2:4">
      <c r="B116" s="26" t="s">
        <v>531</v>
      </c>
      <c r="C116" s="26" t="s">
        <v>1057</v>
      </c>
      <c r="D116" s="26" t="s">
        <v>830</v>
      </c>
    </row>
    <row r="117" spans="2:4">
      <c r="B117" s="26" t="s">
        <v>531</v>
      </c>
      <c r="C117" s="26" t="s">
        <v>1057</v>
      </c>
      <c r="D117" s="26" t="s">
        <v>898</v>
      </c>
    </row>
    <row r="118" spans="2:4">
      <c r="B118" s="26" t="s">
        <v>531</v>
      </c>
      <c r="C118" s="26" t="s">
        <v>1057</v>
      </c>
      <c r="D118" s="26" t="s">
        <v>950</v>
      </c>
    </row>
    <row r="119" spans="2:4">
      <c r="B119" s="26" t="s">
        <v>531</v>
      </c>
      <c r="C119" s="26" t="s">
        <v>1057</v>
      </c>
      <c r="D119" s="26" t="s">
        <v>988</v>
      </c>
    </row>
    <row r="120" spans="2:4">
      <c r="B120" s="26" t="s">
        <v>531</v>
      </c>
      <c r="C120" s="26" t="s">
        <v>490</v>
      </c>
      <c r="D120" s="26" t="s">
        <v>565</v>
      </c>
    </row>
    <row r="121" spans="2:4">
      <c r="B121" s="26" t="s">
        <v>531</v>
      </c>
      <c r="C121" s="26" t="s">
        <v>490</v>
      </c>
      <c r="D121" s="26" t="s">
        <v>658</v>
      </c>
    </row>
    <row r="122" spans="2:4">
      <c r="B122" s="26" t="s">
        <v>531</v>
      </c>
      <c r="C122" s="26" t="s">
        <v>490</v>
      </c>
      <c r="D122" s="26" t="s">
        <v>750</v>
      </c>
    </row>
    <row r="123" spans="2:4">
      <c r="B123" s="26" t="s">
        <v>531</v>
      </c>
      <c r="C123" s="26" t="s">
        <v>490</v>
      </c>
      <c r="D123" s="26" t="s">
        <v>831</v>
      </c>
    </row>
    <row r="124" spans="2:4">
      <c r="B124" s="26" t="s">
        <v>531</v>
      </c>
      <c r="C124" s="26" t="s">
        <v>490</v>
      </c>
      <c r="D124" s="26" t="s">
        <v>899</v>
      </c>
    </row>
    <row r="125" spans="2:4">
      <c r="B125" s="26" t="s">
        <v>531</v>
      </c>
      <c r="C125" s="26" t="s">
        <v>495</v>
      </c>
      <c r="D125" s="26" t="s">
        <v>566</v>
      </c>
    </row>
    <row r="126" spans="2:4">
      <c r="B126" s="26" t="s">
        <v>531</v>
      </c>
      <c r="C126" s="26" t="s">
        <v>495</v>
      </c>
      <c r="D126" s="26" t="s">
        <v>659</v>
      </c>
    </row>
    <row r="127" spans="2:4">
      <c r="B127" s="26" t="s">
        <v>531</v>
      </c>
      <c r="C127" s="26" t="s">
        <v>495</v>
      </c>
      <c r="D127" s="26" t="s">
        <v>751</v>
      </c>
    </row>
    <row r="128" spans="2:4">
      <c r="B128" s="26" t="s">
        <v>531</v>
      </c>
      <c r="C128" s="26" t="s">
        <v>495</v>
      </c>
      <c r="D128" s="26" t="s">
        <v>832</v>
      </c>
    </row>
    <row r="129" spans="2:4">
      <c r="B129" s="26" t="s">
        <v>531</v>
      </c>
      <c r="C129" s="26" t="s">
        <v>495</v>
      </c>
      <c r="D129" s="26" t="s">
        <v>900</v>
      </c>
    </row>
    <row r="130" spans="2:4">
      <c r="B130" s="26" t="s">
        <v>531</v>
      </c>
      <c r="C130" s="26" t="s">
        <v>495</v>
      </c>
      <c r="D130" s="26" t="s">
        <v>951</v>
      </c>
    </row>
    <row r="131" spans="2:4">
      <c r="B131" s="26" t="s">
        <v>531</v>
      </c>
      <c r="C131" s="26" t="s">
        <v>495</v>
      </c>
      <c r="D131" s="26" t="s">
        <v>989</v>
      </c>
    </row>
    <row r="132" spans="2:4">
      <c r="B132" s="26" t="s">
        <v>531</v>
      </c>
      <c r="C132" s="26" t="s">
        <v>495</v>
      </c>
      <c r="D132" s="26" t="s">
        <v>1020</v>
      </c>
    </row>
    <row r="133" spans="2:4">
      <c r="B133" s="26" t="s">
        <v>531</v>
      </c>
      <c r="C133" s="26" t="s">
        <v>495</v>
      </c>
      <c r="D133" s="26" t="s">
        <v>1037</v>
      </c>
    </row>
    <row r="134" spans="2:4">
      <c r="B134" s="26" t="s">
        <v>531</v>
      </c>
      <c r="C134" s="26" t="s">
        <v>495</v>
      </c>
      <c r="D134" s="26" t="s">
        <v>1049</v>
      </c>
    </row>
    <row r="135" spans="2:4">
      <c r="B135" s="26" t="s">
        <v>531</v>
      </c>
      <c r="C135" s="26" t="s">
        <v>498</v>
      </c>
      <c r="D135" s="26" t="s">
        <v>567</v>
      </c>
    </row>
    <row r="136" spans="2:4">
      <c r="B136" s="26" t="s">
        <v>531</v>
      </c>
      <c r="C136" s="26" t="s">
        <v>498</v>
      </c>
      <c r="D136" s="26" t="s">
        <v>660</v>
      </c>
    </row>
    <row r="137" spans="2:4">
      <c r="B137" s="26" t="s">
        <v>531</v>
      </c>
      <c r="C137" s="26" t="s">
        <v>498</v>
      </c>
      <c r="D137" s="26" t="s">
        <v>752</v>
      </c>
    </row>
    <row r="138" spans="2:4">
      <c r="B138" s="26" t="s">
        <v>531</v>
      </c>
      <c r="C138" s="26" t="s">
        <v>498</v>
      </c>
      <c r="D138" s="26" t="s">
        <v>833</v>
      </c>
    </row>
    <row r="139" spans="2:4">
      <c r="B139" s="26" t="s">
        <v>531</v>
      </c>
      <c r="C139" s="26" t="s">
        <v>498</v>
      </c>
      <c r="D139" s="26" t="s">
        <v>901</v>
      </c>
    </row>
    <row r="140" spans="2:4">
      <c r="B140" s="26" t="s">
        <v>531</v>
      </c>
      <c r="C140" s="26" t="s">
        <v>498</v>
      </c>
      <c r="D140" s="26" t="s">
        <v>952</v>
      </c>
    </row>
    <row r="141" spans="2:4">
      <c r="B141" s="26" t="s">
        <v>531</v>
      </c>
      <c r="C141" s="26" t="s">
        <v>498</v>
      </c>
      <c r="D141" s="26" t="s">
        <v>990</v>
      </c>
    </row>
    <row r="142" spans="2:4">
      <c r="B142" s="26" t="s">
        <v>531</v>
      </c>
      <c r="C142" s="26" t="s">
        <v>498</v>
      </c>
      <c r="D142" s="26" t="s">
        <v>1021</v>
      </c>
    </row>
    <row r="143" spans="2:4">
      <c r="B143" s="26" t="s">
        <v>531</v>
      </c>
      <c r="C143" s="26" t="s">
        <v>498</v>
      </c>
      <c r="D143" s="26" t="s">
        <v>1038</v>
      </c>
    </row>
    <row r="144" spans="2:4">
      <c r="B144" s="26" t="s">
        <v>531</v>
      </c>
      <c r="C144" s="26" t="s">
        <v>498</v>
      </c>
      <c r="D144" s="26" t="s">
        <v>1050</v>
      </c>
    </row>
    <row r="145" spans="2:4">
      <c r="B145" s="26" t="s">
        <v>531</v>
      </c>
      <c r="C145" s="26" t="s">
        <v>500</v>
      </c>
      <c r="D145" s="26" t="s">
        <v>568</v>
      </c>
    </row>
    <row r="146" spans="2:4">
      <c r="B146" s="26" t="s">
        <v>531</v>
      </c>
      <c r="C146" s="26" t="s">
        <v>500</v>
      </c>
      <c r="D146" s="26" t="s">
        <v>661</v>
      </c>
    </row>
    <row r="147" spans="2:4">
      <c r="B147" s="26" t="s">
        <v>531</v>
      </c>
      <c r="C147" s="26" t="s">
        <v>500</v>
      </c>
      <c r="D147" s="26" t="s">
        <v>753</v>
      </c>
    </row>
    <row r="148" spans="2:4">
      <c r="B148" s="26" t="s">
        <v>531</v>
      </c>
      <c r="C148" s="26" t="s">
        <v>500</v>
      </c>
      <c r="D148" s="26" t="s">
        <v>834</v>
      </c>
    </row>
    <row r="149" spans="2:4">
      <c r="B149" s="26" t="s">
        <v>531</v>
      </c>
      <c r="C149" s="26" t="s">
        <v>500</v>
      </c>
      <c r="D149" s="26" t="s">
        <v>902</v>
      </c>
    </row>
    <row r="150" spans="2:4">
      <c r="B150" s="26" t="s">
        <v>531</v>
      </c>
      <c r="C150" s="26" t="s">
        <v>500</v>
      </c>
      <c r="D150" s="26" t="s">
        <v>953</v>
      </c>
    </row>
    <row r="151" spans="2:4">
      <c r="B151" s="26" t="s">
        <v>531</v>
      </c>
      <c r="C151" s="26" t="s">
        <v>500</v>
      </c>
      <c r="D151" s="26" t="s">
        <v>991</v>
      </c>
    </row>
    <row r="152" spans="2:4">
      <c r="B152" s="26" t="s">
        <v>531</v>
      </c>
      <c r="C152" s="26" t="s">
        <v>502</v>
      </c>
      <c r="D152" s="26" t="s">
        <v>569</v>
      </c>
    </row>
    <row r="153" spans="2:4">
      <c r="B153" s="26" t="s">
        <v>531</v>
      </c>
      <c r="C153" s="26" t="s">
        <v>502</v>
      </c>
      <c r="D153" s="26" t="s">
        <v>662</v>
      </c>
    </row>
    <row r="154" spans="2:4">
      <c r="B154" s="26" t="s">
        <v>531</v>
      </c>
      <c r="C154" s="26" t="s">
        <v>502</v>
      </c>
      <c r="D154" s="26" t="s">
        <v>754</v>
      </c>
    </row>
    <row r="155" spans="2:4">
      <c r="B155" s="26" t="s">
        <v>531</v>
      </c>
      <c r="C155" s="26" t="s">
        <v>502</v>
      </c>
      <c r="D155" s="26" t="s">
        <v>835</v>
      </c>
    </row>
    <row r="156" spans="2:4">
      <c r="B156" s="26" t="s">
        <v>531</v>
      </c>
      <c r="C156" s="26" t="s">
        <v>502</v>
      </c>
      <c r="D156" s="26" t="s">
        <v>903</v>
      </c>
    </row>
    <row r="157" spans="2:4">
      <c r="B157" s="26" t="s">
        <v>531</v>
      </c>
      <c r="C157" s="26" t="s">
        <v>502</v>
      </c>
      <c r="D157" s="26" t="s">
        <v>954</v>
      </c>
    </row>
    <row r="158" spans="2:4">
      <c r="B158" s="26" t="s">
        <v>531</v>
      </c>
      <c r="C158" s="26" t="s">
        <v>502</v>
      </c>
      <c r="D158" s="26" t="s">
        <v>992</v>
      </c>
    </row>
    <row r="159" spans="2:4">
      <c r="B159" s="26" t="s">
        <v>531</v>
      </c>
      <c r="C159" s="26" t="s">
        <v>504</v>
      </c>
      <c r="D159" s="26" t="s">
        <v>570</v>
      </c>
    </row>
    <row r="160" spans="2:4">
      <c r="B160" s="26" t="s">
        <v>531</v>
      </c>
      <c r="C160" s="26" t="s">
        <v>504</v>
      </c>
      <c r="D160" s="26" t="s">
        <v>663</v>
      </c>
    </row>
    <row r="161" spans="2:4">
      <c r="B161" s="26" t="s">
        <v>531</v>
      </c>
      <c r="C161" s="26" t="s">
        <v>504</v>
      </c>
      <c r="D161" s="26" t="s">
        <v>755</v>
      </c>
    </row>
    <row r="162" spans="2:4">
      <c r="B162" s="26" t="s">
        <v>531</v>
      </c>
      <c r="C162" s="26" t="s">
        <v>504</v>
      </c>
      <c r="D162" s="26" t="s">
        <v>836</v>
      </c>
    </row>
    <row r="163" spans="2:4">
      <c r="B163" s="26" t="s">
        <v>531</v>
      </c>
      <c r="C163" s="26" t="s">
        <v>504</v>
      </c>
      <c r="D163" s="26" t="s">
        <v>904</v>
      </c>
    </row>
    <row r="164" spans="2:4">
      <c r="B164" s="26" t="s">
        <v>531</v>
      </c>
      <c r="C164" s="26" t="s">
        <v>504</v>
      </c>
      <c r="D164" s="26" t="s">
        <v>955</v>
      </c>
    </row>
    <row r="165" spans="2:4">
      <c r="B165" s="26" t="s">
        <v>531</v>
      </c>
      <c r="C165" s="26" t="s">
        <v>504</v>
      </c>
      <c r="D165" s="26" t="s">
        <v>993</v>
      </c>
    </row>
    <row r="166" spans="2:4">
      <c r="B166" s="26" t="s">
        <v>531</v>
      </c>
      <c r="C166" s="26" t="s">
        <v>504</v>
      </c>
      <c r="D166" s="26" t="s">
        <v>1022</v>
      </c>
    </row>
    <row r="167" spans="2:4">
      <c r="B167" s="26" t="s">
        <v>531</v>
      </c>
      <c r="C167" s="26" t="s">
        <v>504</v>
      </c>
      <c r="D167" s="26" t="s">
        <v>1039</v>
      </c>
    </row>
    <row r="168" spans="2:4">
      <c r="B168" s="26" t="s">
        <v>531</v>
      </c>
      <c r="C168" s="26" t="s">
        <v>504</v>
      </c>
      <c r="D168" s="26" t="s">
        <v>1051</v>
      </c>
    </row>
    <row r="169" spans="2:4">
      <c r="B169" s="26" t="s">
        <v>531</v>
      </c>
      <c r="C169" s="26" t="s">
        <v>506</v>
      </c>
      <c r="D169" s="26" t="s">
        <v>571</v>
      </c>
    </row>
    <row r="170" spans="2:4">
      <c r="B170" s="26" t="s">
        <v>531</v>
      </c>
      <c r="C170" s="26" t="s">
        <v>506</v>
      </c>
      <c r="D170" s="26" t="s">
        <v>664</v>
      </c>
    </row>
    <row r="171" spans="2:4">
      <c r="B171" s="26" t="s">
        <v>531</v>
      </c>
      <c r="C171" s="26" t="s">
        <v>506</v>
      </c>
      <c r="D171" s="26" t="s">
        <v>756</v>
      </c>
    </row>
    <row r="172" spans="2:4">
      <c r="B172" s="26" t="s">
        <v>531</v>
      </c>
      <c r="C172" s="26" t="s">
        <v>506</v>
      </c>
      <c r="D172" s="26" t="s">
        <v>837</v>
      </c>
    </row>
    <row r="173" spans="2:4">
      <c r="B173" s="26" t="s">
        <v>531</v>
      </c>
      <c r="C173" s="26" t="s">
        <v>506</v>
      </c>
      <c r="D173" s="26" t="s">
        <v>905</v>
      </c>
    </row>
    <row r="174" spans="2:4">
      <c r="B174" s="26" t="s">
        <v>531</v>
      </c>
      <c r="C174" s="26" t="s">
        <v>509</v>
      </c>
      <c r="D174" s="26" t="s">
        <v>572</v>
      </c>
    </row>
    <row r="175" spans="2:4">
      <c r="B175" s="26" t="s">
        <v>531</v>
      </c>
      <c r="C175" s="26" t="s">
        <v>509</v>
      </c>
      <c r="D175" s="26" t="s">
        <v>665</v>
      </c>
    </row>
    <row r="176" spans="2:4">
      <c r="B176" s="26" t="s">
        <v>531</v>
      </c>
      <c r="C176" s="26" t="s">
        <v>509</v>
      </c>
      <c r="D176" s="26" t="s">
        <v>757</v>
      </c>
    </row>
    <row r="177" spans="2:4">
      <c r="B177" s="26" t="s">
        <v>531</v>
      </c>
      <c r="C177" s="26" t="s">
        <v>509</v>
      </c>
      <c r="D177" s="26" t="s">
        <v>838</v>
      </c>
    </row>
    <row r="178" spans="2:4">
      <c r="B178" s="26" t="s">
        <v>531</v>
      </c>
      <c r="C178" s="26" t="s">
        <v>509</v>
      </c>
      <c r="D178" s="26" t="s">
        <v>906</v>
      </c>
    </row>
    <row r="179" spans="2:4">
      <c r="B179" s="26" t="s">
        <v>531</v>
      </c>
      <c r="C179" s="26" t="s">
        <v>509</v>
      </c>
      <c r="D179" s="26" t="s">
        <v>956</v>
      </c>
    </row>
    <row r="180" spans="2:4">
      <c r="B180" s="26" t="s">
        <v>531</v>
      </c>
      <c r="C180" s="26" t="s">
        <v>509</v>
      </c>
      <c r="D180" s="26" t="s">
        <v>994</v>
      </c>
    </row>
    <row r="181" spans="2:4">
      <c r="B181" s="26" t="s">
        <v>531</v>
      </c>
      <c r="C181" s="26" t="s">
        <v>509</v>
      </c>
      <c r="D181" s="26" t="s">
        <v>1023</v>
      </c>
    </row>
    <row r="182" spans="2:4">
      <c r="B182" s="26" t="s">
        <v>531</v>
      </c>
      <c r="C182" s="26" t="s">
        <v>509</v>
      </c>
      <c r="D182" s="26" t="s">
        <v>1040</v>
      </c>
    </row>
    <row r="183" spans="2:4">
      <c r="B183" s="26" t="s">
        <v>531</v>
      </c>
      <c r="C183" s="26" t="s">
        <v>511</v>
      </c>
      <c r="D183" s="26" t="s">
        <v>573</v>
      </c>
    </row>
    <row r="184" spans="2:4">
      <c r="B184" s="26" t="s">
        <v>531</v>
      </c>
      <c r="C184" s="26" t="s">
        <v>511</v>
      </c>
      <c r="D184" s="26" t="s">
        <v>666</v>
      </c>
    </row>
    <row r="185" spans="2:4">
      <c r="B185" s="26" t="s">
        <v>531</v>
      </c>
      <c r="C185" s="26" t="s">
        <v>511</v>
      </c>
      <c r="D185" s="26" t="s">
        <v>758</v>
      </c>
    </row>
    <row r="186" spans="2:4">
      <c r="B186" s="26" t="s">
        <v>531</v>
      </c>
      <c r="C186" s="26" t="s">
        <v>511</v>
      </c>
      <c r="D186" s="26" t="s">
        <v>839</v>
      </c>
    </row>
    <row r="187" spans="2:4">
      <c r="B187" s="26" t="s">
        <v>531</v>
      </c>
      <c r="C187" s="26" t="s">
        <v>511</v>
      </c>
      <c r="D187" s="26" t="s">
        <v>907</v>
      </c>
    </row>
    <row r="188" spans="2:4">
      <c r="B188" s="26" t="s">
        <v>531</v>
      </c>
      <c r="C188" s="26" t="s">
        <v>511</v>
      </c>
      <c r="D188" s="26" t="s">
        <v>957</v>
      </c>
    </row>
    <row r="189" spans="2:4">
      <c r="B189" s="26" t="s">
        <v>531</v>
      </c>
      <c r="C189" s="26" t="s">
        <v>511</v>
      </c>
      <c r="D189" s="26" t="s">
        <v>995</v>
      </c>
    </row>
    <row r="190" spans="2:4">
      <c r="B190" s="26" t="s">
        <v>531</v>
      </c>
      <c r="C190" s="26" t="s">
        <v>513</v>
      </c>
      <c r="D190" s="26" t="s">
        <v>574</v>
      </c>
    </row>
    <row r="191" spans="2:4">
      <c r="B191" s="26" t="s">
        <v>531</v>
      </c>
      <c r="C191" s="26" t="s">
        <v>513</v>
      </c>
      <c r="D191" s="26" t="s">
        <v>667</v>
      </c>
    </row>
    <row r="192" spans="2:4">
      <c r="B192" s="26" t="s">
        <v>531</v>
      </c>
      <c r="C192" s="26" t="s">
        <v>513</v>
      </c>
      <c r="D192" s="26" t="s">
        <v>759</v>
      </c>
    </row>
    <row r="193" spans="2:4">
      <c r="B193" s="26" t="s">
        <v>531</v>
      </c>
      <c r="C193" s="26" t="s">
        <v>513</v>
      </c>
      <c r="D193" s="26" t="s">
        <v>840</v>
      </c>
    </row>
    <row r="194" spans="2:4">
      <c r="B194" s="26" t="s">
        <v>531</v>
      </c>
      <c r="C194" s="26" t="s">
        <v>513</v>
      </c>
      <c r="D194" s="26" t="s">
        <v>908</v>
      </c>
    </row>
    <row r="195" spans="2:4">
      <c r="B195" s="26" t="s">
        <v>531</v>
      </c>
      <c r="C195" s="26" t="s">
        <v>513</v>
      </c>
      <c r="D195" s="26" t="s">
        <v>958</v>
      </c>
    </row>
    <row r="196" spans="2:4">
      <c r="B196" s="26" t="s">
        <v>531</v>
      </c>
      <c r="C196" s="26" t="s">
        <v>513</v>
      </c>
      <c r="D196" s="26" t="s">
        <v>996</v>
      </c>
    </row>
    <row r="197" spans="2:4">
      <c r="B197" s="26" t="s">
        <v>531</v>
      </c>
      <c r="C197" s="26" t="s">
        <v>515</v>
      </c>
      <c r="D197" s="26" t="s">
        <v>575</v>
      </c>
    </row>
    <row r="198" spans="2:4">
      <c r="B198" s="26" t="s">
        <v>531</v>
      </c>
      <c r="C198" s="26" t="s">
        <v>515</v>
      </c>
      <c r="D198" s="26" t="s">
        <v>668</v>
      </c>
    </row>
    <row r="199" spans="2:4">
      <c r="B199" s="26" t="s">
        <v>531</v>
      </c>
      <c r="C199" s="26" t="s">
        <v>515</v>
      </c>
      <c r="D199" s="26" t="s">
        <v>760</v>
      </c>
    </row>
    <row r="200" spans="2:4">
      <c r="B200" s="26" t="s">
        <v>531</v>
      </c>
      <c r="C200" s="26" t="s">
        <v>515</v>
      </c>
      <c r="D200" s="26" t="s">
        <v>841</v>
      </c>
    </row>
    <row r="201" spans="2:4">
      <c r="B201" s="26" t="s">
        <v>531</v>
      </c>
      <c r="C201" s="26" t="s">
        <v>515</v>
      </c>
      <c r="D201" s="26" t="s">
        <v>909</v>
      </c>
    </row>
    <row r="202" spans="2:4">
      <c r="B202" s="26" t="s">
        <v>531</v>
      </c>
      <c r="C202" s="26" t="s">
        <v>515</v>
      </c>
      <c r="D202" s="26" t="s">
        <v>959</v>
      </c>
    </row>
    <row r="203" spans="2:4">
      <c r="B203" s="26" t="s">
        <v>531</v>
      </c>
      <c r="C203" s="26" t="s">
        <v>515</v>
      </c>
      <c r="D203" s="26" t="s">
        <v>997</v>
      </c>
    </row>
    <row r="204" spans="2:4">
      <c r="B204" s="26" t="s">
        <v>531</v>
      </c>
      <c r="C204" s="26" t="s">
        <v>515</v>
      </c>
      <c r="D204" s="26" t="s">
        <v>1024</v>
      </c>
    </row>
    <row r="205" spans="2:4">
      <c r="B205" s="26" t="s">
        <v>531</v>
      </c>
      <c r="C205" s="26" t="s">
        <v>515</v>
      </c>
      <c r="D205" s="26" t="s">
        <v>1041</v>
      </c>
    </row>
    <row r="206" spans="2:4">
      <c r="B206" s="26" t="s">
        <v>531</v>
      </c>
      <c r="C206" s="26" t="s">
        <v>517</v>
      </c>
      <c r="D206" s="26" t="s">
        <v>576</v>
      </c>
    </row>
    <row r="207" spans="2:4">
      <c r="B207" s="26" t="s">
        <v>531</v>
      </c>
      <c r="C207" s="26" t="s">
        <v>517</v>
      </c>
      <c r="D207" s="26" t="s">
        <v>669</v>
      </c>
    </row>
    <row r="208" spans="2:4">
      <c r="B208" s="26" t="s">
        <v>531</v>
      </c>
      <c r="C208" s="26" t="s">
        <v>517</v>
      </c>
      <c r="D208" s="26" t="s">
        <v>761</v>
      </c>
    </row>
    <row r="209" spans="2:4">
      <c r="B209" s="26" t="s">
        <v>531</v>
      </c>
      <c r="C209" s="26" t="s">
        <v>517</v>
      </c>
      <c r="D209" s="26" t="s">
        <v>842</v>
      </c>
    </row>
    <row r="210" spans="2:4">
      <c r="B210" s="26" t="s">
        <v>531</v>
      </c>
      <c r="C210" s="26" t="s">
        <v>519</v>
      </c>
      <c r="D210" s="26" t="s">
        <v>577</v>
      </c>
    </row>
    <row r="211" spans="2:4">
      <c r="B211" s="26" t="s">
        <v>531</v>
      </c>
      <c r="C211" s="26" t="s">
        <v>519</v>
      </c>
      <c r="D211" s="26" t="s">
        <v>670</v>
      </c>
    </row>
    <row r="212" spans="2:4">
      <c r="B212" s="26" t="s">
        <v>531</v>
      </c>
      <c r="C212" s="26" t="s">
        <v>519</v>
      </c>
      <c r="D212" s="26" t="s">
        <v>762</v>
      </c>
    </row>
    <row r="213" spans="2:4">
      <c r="B213" s="26" t="s">
        <v>531</v>
      </c>
      <c r="C213" s="26" t="s">
        <v>519</v>
      </c>
      <c r="D213" s="26" t="s">
        <v>843</v>
      </c>
    </row>
    <row r="214" spans="2:4">
      <c r="B214" s="26" t="s">
        <v>531</v>
      </c>
      <c r="C214" s="26" t="s">
        <v>519</v>
      </c>
      <c r="D214" s="26" t="s">
        <v>910</v>
      </c>
    </row>
    <row r="215" spans="2:4">
      <c r="B215" s="26" t="s">
        <v>531</v>
      </c>
      <c r="C215" s="26" t="s">
        <v>519</v>
      </c>
      <c r="D215" s="26" t="s">
        <v>960</v>
      </c>
    </row>
    <row r="216" spans="2:4">
      <c r="B216" s="26" t="s">
        <v>531</v>
      </c>
      <c r="C216" s="26" t="s">
        <v>519</v>
      </c>
      <c r="D216" s="26" t="s">
        <v>998</v>
      </c>
    </row>
    <row r="217" spans="2:4">
      <c r="B217" s="26" t="s">
        <v>531</v>
      </c>
      <c r="C217" s="26" t="s">
        <v>521</v>
      </c>
      <c r="D217" s="26" t="s">
        <v>578</v>
      </c>
    </row>
    <row r="218" spans="2:4">
      <c r="B218" s="26" t="s">
        <v>531</v>
      </c>
      <c r="C218" s="26" t="s">
        <v>521</v>
      </c>
      <c r="D218" s="26" t="s">
        <v>671</v>
      </c>
    </row>
    <row r="219" spans="2:4">
      <c r="B219" s="26" t="s">
        <v>531</v>
      </c>
      <c r="C219" s="26" t="s">
        <v>521</v>
      </c>
      <c r="D219" s="26" t="s">
        <v>763</v>
      </c>
    </row>
    <row r="220" spans="2:4">
      <c r="B220" s="26" t="s">
        <v>531</v>
      </c>
      <c r="C220" s="26" t="s">
        <v>521</v>
      </c>
      <c r="D220" s="26" t="s">
        <v>844</v>
      </c>
    </row>
    <row r="221" spans="2:4">
      <c r="B221" s="26" t="s">
        <v>531</v>
      </c>
      <c r="C221" s="26" t="s">
        <v>521</v>
      </c>
      <c r="D221" s="26" t="s">
        <v>911</v>
      </c>
    </row>
    <row r="222" spans="2:4">
      <c r="B222" s="26" t="s">
        <v>531</v>
      </c>
      <c r="C222" s="26" t="s">
        <v>521</v>
      </c>
      <c r="D222" s="26" t="s">
        <v>961</v>
      </c>
    </row>
    <row r="223" spans="2:4">
      <c r="B223" s="26" t="s">
        <v>531</v>
      </c>
      <c r="C223" s="26" t="s">
        <v>521</v>
      </c>
      <c r="D223" s="26" t="s">
        <v>999</v>
      </c>
    </row>
    <row r="224" spans="2:4">
      <c r="B224" s="26" t="s">
        <v>531</v>
      </c>
      <c r="C224" s="26" t="s">
        <v>521</v>
      </c>
      <c r="D224" s="26" t="s">
        <v>1025</v>
      </c>
    </row>
    <row r="225" spans="2:4">
      <c r="B225" s="26" t="s">
        <v>531</v>
      </c>
      <c r="C225" s="26" t="s">
        <v>521</v>
      </c>
      <c r="D225" s="26" t="s">
        <v>1042</v>
      </c>
    </row>
    <row r="226" spans="2:4">
      <c r="B226" s="26" t="s">
        <v>531</v>
      </c>
      <c r="C226" s="26" t="s">
        <v>521</v>
      </c>
      <c r="D226" s="26" t="s">
        <v>1052</v>
      </c>
    </row>
    <row r="227" spans="2:4">
      <c r="B227" s="26" t="s">
        <v>532</v>
      </c>
      <c r="C227" s="26" t="s">
        <v>402</v>
      </c>
      <c r="D227" s="26" t="s">
        <v>579</v>
      </c>
    </row>
    <row r="228" spans="2:4">
      <c r="B228" s="26" t="s">
        <v>532</v>
      </c>
      <c r="C228" s="26" t="s">
        <v>402</v>
      </c>
      <c r="D228" s="26" t="s">
        <v>672</v>
      </c>
    </row>
    <row r="229" spans="2:4">
      <c r="B229" s="26" t="s">
        <v>532</v>
      </c>
      <c r="C229" s="26" t="s">
        <v>422</v>
      </c>
      <c r="D229" s="26" t="s">
        <v>580</v>
      </c>
    </row>
    <row r="230" spans="2:4">
      <c r="B230" s="26" t="s">
        <v>532</v>
      </c>
      <c r="C230" s="26" t="s">
        <v>422</v>
      </c>
      <c r="D230" s="26" t="s">
        <v>673</v>
      </c>
    </row>
    <row r="231" spans="2:4">
      <c r="B231" s="26" t="s">
        <v>532</v>
      </c>
      <c r="C231" s="26" t="s">
        <v>439</v>
      </c>
      <c r="D231" s="26" t="s">
        <v>581</v>
      </c>
    </row>
    <row r="232" spans="2:4">
      <c r="B232" s="26" t="s">
        <v>532</v>
      </c>
      <c r="C232" s="26" t="s">
        <v>439</v>
      </c>
      <c r="D232" s="26" t="s">
        <v>674</v>
      </c>
    </row>
    <row r="233" spans="2:4">
      <c r="B233" s="26" t="s">
        <v>532</v>
      </c>
      <c r="C233" s="26" t="s">
        <v>452</v>
      </c>
      <c r="D233" s="26" t="s">
        <v>582</v>
      </c>
    </row>
    <row r="234" spans="2:4">
      <c r="B234" s="26" t="s">
        <v>532</v>
      </c>
      <c r="C234" s="26" t="s">
        <v>452</v>
      </c>
      <c r="D234" s="26" t="s">
        <v>675</v>
      </c>
    </row>
    <row r="235" spans="2:4">
      <c r="B235" s="26" t="s">
        <v>532</v>
      </c>
      <c r="C235" s="26" t="s">
        <v>452</v>
      </c>
      <c r="D235" s="26" t="s">
        <v>764</v>
      </c>
    </row>
    <row r="236" spans="2:4">
      <c r="B236" s="26" t="s">
        <v>532</v>
      </c>
      <c r="C236" s="26" t="s">
        <v>452</v>
      </c>
      <c r="D236" s="26" t="s">
        <v>845</v>
      </c>
    </row>
    <row r="237" spans="2:4">
      <c r="B237" s="26" t="s">
        <v>533</v>
      </c>
      <c r="C237" s="26" t="s">
        <v>403</v>
      </c>
      <c r="D237" s="26" t="s">
        <v>583</v>
      </c>
    </row>
    <row r="238" spans="2:4">
      <c r="B238" s="26" t="s">
        <v>533</v>
      </c>
      <c r="C238" s="26" t="s">
        <v>403</v>
      </c>
      <c r="D238" s="26" t="s">
        <v>676</v>
      </c>
    </row>
    <row r="239" spans="2:4">
      <c r="B239" s="26" t="s">
        <v>533</v>
      </c>
      <c r="C239" s="26" t="s">
        <v>403</v>
      </c>
      <c r="D239" s="26" t="s">
        <v>765</v>
      </c>
    </row>
    <row r="240" spans="2:4">
      <c r="B240" s="26" t="s">
        <v>533</v>
      </c>
      <c r="C240" s="26" t="s">
        <v>403</v>
      </c>
      <c r="D240" s="26" t="s">
        <v>846</v>
      </c>
    </row>
    <row r="241" spans="2:4">
      <c r="B241" s="26" t="s">
        <v>533</v>
      </c>
      <c r="C241" s="26" t="s">
        <v>423</v>
      </c>
      <c r="D241" s="26" t="s">
        <v>584</v>
      </c>
    </row>
    <row r="242" spans="2:4">
      <c r="B242" s="26" t="s">
        <v>533</v>
      </c>
      <c r="C242" s="26" t="s">
        <v>423</v>
      </c>
      <c r="D242" s="26" t="s">
        <v>677</v>
      </c>
    </row>
    <row r="243" spans="2:4">
      <c r="B243" s="26" t="s">
        <v>533</v>
      </c>
      <c r="C243" s="26" t="s">
        <v>423</v>
      </c>
      <c r="D243" s="26" t="s">
        <v>766</v>
      </c>
    </row>
    <row r="244" spans="2:4">
      <c r="B244" s="26" t="s">
        <v>533</v>
      </c>
      <c r="C244" s="26" t="s">
        <v>423</v>
      </c>
      <c r="D244" s="26" t="s">
        <v>847</v>
      </c>
    </row>
    <row r="245" spans="2:4">
      <c r="B245" s="26" t="s">
        <v>533</v>
      </c>
      <c r="C245" s="26" t="s">
        <v>440</v>
      </c>
      <c r="D245" s="26" t="s">
        <v>585</v>
      </c>
    </row>
    <row r="246" spans="2:4">
      <c r="B246" s="26" t="s">
        <v>533</v>
      </c>
      <c r="C246" s="26" t="s">
        <v>440</v>
      </c>
      <c r="D246" s="26" t="s">
        <v>678</v>
      </c>
    </row>
    <row r="247" spans="2:4">
      <c r="B247" s="26" t="s">
        <v>533</v>
      </c>
      <c r="C247" s="26" t="s">
        <v>440</v>
      </c>
      <c r="D247" s="26" t="s">
        <v>767</v>
      </c>
    </row>
    <row r="248" spans="2:4">
      <c r="B248" s="26" t="s">
        <v>533</v>
      </c>
      <c r="C248" s="26" t="s">
        <v>453</v>
      </c>
      <c r="D248" s="26" t="s">
        <v>586</v>
      </c>
    </row>
    <row r="249" spans="2:4">
      <c r="B249" s="26" t="s">
        <v>533</v>
      </c>
      <c r="C249" s="26" t="s">
        <v>453</v>
      </c>
      <c r="D249" s="26" t="s">
        <v>679</v>
      </c>
    </row>
    <row r="250" spans="2:4">
      <c r="B250" s="26" t="s">
        <v>533</v>
      </c>
      <c r="C250" s="26" t="s">
        <v>461</v>
      </c>
      <c r="D250" s="26" t="s">
        <v>587</v>
      </c>
    </row>
    <row r="251" spans="2:4">
      <c r="B251" s="26" t="s">
        <v>533</v>
      </c>
      <c r="C251" s="26" t="s">
        <v>461</v>
      </c>
      <c r="D251" s="26" t="s">
        <v>680</v>
      </c>
    </row>
    <row r="252" spans="2:4">
      <c r="B252" s="26" t="s">
        <v>533</v>
      </c>
      <c r="C252" s="26" t="s">
        <v>461</v>
      </c>
      <c r="D252" s="26" t="s">
        <v>768</v>
      </c>
    </row>
    <row r="253" spans="2:4">
      <c r="B253" s="26" t="s">
        <v>533</v>
      </c>
      <c r="C253" s="26" t="s">
        <v>461</v>
      </c>
      <c r="D253" s="26" t="s">
        <v>848</v>
      </c>
    </row>
    <row r="254" spans="2:4">
      <c r="B254" s="26" t="s">
        <v>533</v>
      </c>
      <c r="C254" s="26" t="s">
        <v>461</v>
      </c>
      <c r="D254" s="26" t="s">
        <v>912</v>
      </c>
    </row>
    <row r="255" spans="2:4">
      <c r="B255" s="26" t="s">
        <v>533</v>
      </c>
      <c r="C255" s="26" t="s">
        <v>461</v>
      </c>
      <c r="D255" s="26" t="s">
        <v>962</v>
      </c>
    </row>
    <row r="256" spans="2:4">
      <c r="B256" s="26" t="s">
        <v>533</v>
      </c>
      <c r="C256" s="26" t="s">
        <v>461</v>
      </c>
      <c r="D256" s="26" t="s">
        <v>1000</v>
      </c>
    </row>
    <row r="257" spans="2:4">
      <c r="B257" s="26" t="s">
        <v>383</v>
      </c>
      <c r="C257" s="26" t="s">
        <v>404</v>
      </c>
      <c r="D257" s="26" t="s">
        <v>588</v>
      </c>
    </row>
    <row r="258" spans="2:4">
      <c r="B258" s="26" t="s">
        <v>383</v>
      </c>
      <c r="C258" s="26" t="s">
        <v>404</v>
      </c>
      <c r="D258" s="26" t="s">
        <v>681</v>
      </c>
    </row>
    <row r="259" spans="2:4">
      <c r="B259" s="26" t="s">
        <v>383</v>
      </c>
      <c r="C259" s="26" t="s">
        <v>424</v>
      </c>
      <c r="D259" s="26" t="s">
        <v>589</v>
      </c>
    </row>
    <row r="260" spans="2:4">
      <c r="B260" s="26" t="s">
        <v>383</v>
      </c>
      <c r="C260" s="26" t="s">
        <v>424</v>
      </c>
      <c r="D260" s="26" t="s">
        <v>682</v>
      </c>
    </row>
    <row r="261" spans="2:4">
      <c r="B261" s="26" t="s">
        <v>383</v>
      </c>
      <c r="C261" s="26" t="s">
        <v>424</v>
      </c>
      <c r="D261" s="26" t="s">
        <v>769</v>
      </c>
    </row>
    <row r="262" spans="2:4">
      <c r="B262" s="26" t="s">
        <v>383</v>
      </c>
      <c r="C262" s="26" t="s">
        <v>424</v>
      </c>
      <c r="D262" s="26" t="s">
        <v>849</v>
      </c>
    </row>
    <row r="263" spans="2:4">
      <c r="B263" s="26" t="s">
        <v>383</v>
      </c>
      <c r="C263" s="26" t="s">
        <v>424</v>
      </c>
      <c r="D263" s="26" t="s">
        <v>913</v>
      </c>
    </row>
    <row r="264" spans="2:4">
      <c r="B264" s="26" t="s">
        <v>383</v>
      </c>
      <c r="C264" s="26" t="s">
        <v>441</v>
      </c>
      <c r="D264" s="26" t="s">
        <v>590</v>
      </c>
    </row>
    <row r="265" spans="2:4">
      <c r="B265" s="26" t="s">
        <v>383</v>
      </c>
      <c r="C265" s="26" t="s">
        <v>441</v>
      </c>
      <c r="D265" s="26" t="s">
        <v>683</v>
      </c>
    </row>
    <row r="266" spans="2:4">
      <c r="B266" s="26" t="s">
        <v>383</v>
      </c>
      <c r="C266" s="26" t="s">
        <v>441</v>
      </c>
      <c r="D266" s="26" t="s">
        <v>770</v>
      </c>
    </row>
    <row r="267" spans="2:4">
      <c r="B267" s="26" t="s">
        <v>383</v>
      </c>
      <c r="C267" s="26" t="s">
        <v>441</v>
      </c>
      <c r="D267" s="26" t="s">
        <v>850</v>
      </c>
    </row>
    <row r="268" spans="2:4">
      <c r="B268" s="26" t="s">
        <v>383</v>
      </c>
      <c r="C268" s="26" t="s">
        <v>441</v>
      </c>
      <c r="D268" s="26" t="s">
        <v>914</v>
      </c>
    </row>
    <row r="269" spans="2:4">
      <c r="B269" s="26" t="s">
        <v>383</v>
      </c>
      <c r="C269" s="26" t="s">
        <v>441</v>
      </c>
      <c r="D269" s="26" t="s">
        <v>963</v>
      </c>
    </row>
    <row r="270" spans="2:4">
      <c r="B270" s="26" t="s">
        <v>383</v>
      </c>
      <c r="C270" s="26" t="s">
        <v>454</v>
      </c>
      <c r="D270" s="26" t="s">
        <v>591</v>
      </c>
    </row>
    <row r="271" spans="2:4">
      <c r="B271" s="26" t="s">
        <v>383</v>
      </c>
      <c r="C271" s="26" t="s">
        <v>454</v>
      </c>
      <c r="D271" s="26" t="s">
        <v>684</v>
      </c>
    </row>
    <row r="272" spans="2:4">
      <c r="B272" s="26" t="s">
        <v>383</v>
      </c>
      <c r="C272" s="26" t="s">
        <v>454</v>
      </c>
      <c r="D272" s="26" t="s">
        <v>771</v>
      </c>
    </row>
    <row r="273" spans="2:4">
      <c r="B273" s="26" t="s">
        <v>383</v>
      </c>
      <c r="C273" s="26" t="s">
        <v>454</v>
      </c>
      <c r="D273" s="26" t="s">
        <v>851</v>
      </c>
    </row>
    <row r="274" spans="2:4">
      <c r="B274" s="26" t="s">
        <v>383</v>
      </c>
      <c r="C274" s="26" t="s">
        <v>454</v>
      </c>
      <c r="D274" s="26" t="s">
        <v>915</v>
      </c>
    </row>
    <row r="275" spans="2:4">
      <c r="B275" s="26" t="s">
        <v>383</v>
      </c>
      <c r="C275" s="26" t="s">
        <v>462</v>
      </c>
      <c r="D275" s="26" t="s">
        <v>592</v>
      </c>
    </row>
    <row r="276" spans="2:4">
      <c r="B276" s="26" t="s">
        <v>383</v>
      </c>
      <c r="C276" s="26" t="s">
        <v>462</v>
      </c>
      <c r="D276" s="26" t="s">
        <v>685</v>
      </c>
    </row>
    <row r="277" spans="2:4">
      <c r="B277" s="26" t="s">
        <v>383</v>
      </c>
      <c r="C277" s="26" t="s">
        <v>462</v>
      </c>
      <c r="D277" s="26" t="s">
        <v>772</v>
      </c>
    </row>
    <row r="278" spans="2:4">
      <c r="B278" s="26" t="s">
        <v>383</v>
      </c>
      <c r="C278" s="26" t="s">
        <v>468</v>
      </c>
      <c r="D278" s="26" t="s">
        <v>593</v>
      </c>
    </row>
    <row r="279" spans="2:4">
      <c r="B279" s="26" t="s">
        <v>383</v>
      </c>
      <c r="C279" s="26" t="s">
        <v>468</v>
      </c>
      <c r="D279" s="26" t="s">
        <v>686</v>
      </c>
    </row>
    <row r="280" spans="2:4">
      <c r="B280" s="26" t="s">
        <v>383</v>
      </c>
      <c r="C280" s="26" t="s">
        <v>468</v>
      </c>
      <c r="D280" s="26" t="s">
        <v>773</v>
      </c>
    </row>
    <row r="281" spans="2:4">
      <c r="B281" s="26" t="s">
        <v>383</v>
      </c>
      <c r="C281" s="26" t="s">
        <v>474</v>
      </c>
      <c r="D281" s="26" t="s">
        <v>594</v>
      </c>
    </row>
    <row r="282" spans="2:4">
      <c r="B282" s="26" t="s">
        <v>383</v>
      </c>
      <c r="C282" s="26" t="s">
        <v>474</v>
      </c>
      <c r="D282" s="26" t="s">
        <v>687</v>
      </c>
    </row>
    <row r="283" spans="2:4">
      <c r="B283" s="26" t="s">
        <v>383</v>
      </c>
      <c r="C283" s="26" t="s">
        <v>474</v>
      </c>
      <c r="D283" s="26" t="s">
        <v>774</v>
      </c>
    </row>
    <row r="284" spans="2:4">
      <c r="B284" s="26" t="s">
        <v>383</v>
      </c>
      <c r="C284" s="26" t="s">
        <v>474</v>
      </c>
      <c r="D284" s="26" t="s">
        <v>852</v>
      </c>
    </row>
    <row r="285" spans="2:4">
      <c r="B285" s="26" t="s">
        <v>383</v>
      </c>
      <c r="C285" s="26" t="s">
        <v>474</v>
      </c>
      <c r="D285" s="26" t="s">
        <v>916</v>
      </c>
    </row>
    <row r="286" spans="2:4">
      <c r="B286" s="26" t="s">
        <v>383</v>
      </c>
      <c r="C286" s="26" t="s">
        <v>474</v>
      </c>
      <c r="D286" s="26" t="s">
        <v>964</v>
      </c>
    </row>
    <row r="287" spans="2:4">
      <c r="B287" s="26" t="s">
        <v>383</v>
      </c>
      <c r="C287" s="26" t="s">
        <v>474</v>
      </c>
      <c r="D287" s="26" t="s">
        <v>1001</v>
      </c>
    </row>
    <row r="288" spans="2:4">
      <c r="B288" s="26" t="s">
        <v>383</v>
      </c>
      <c r="C288" s="26" t="s">
        <v>1058</v>
      </c>
      <c r="D288" s="26" t="s">
        <v>595</v>
      </c>
    </row>
    <row r="289" spans="2:4">
      <c r="B289" s="26" t="s">
        <v>383</v>
      </c>
      <c r="C289" s="26" t="s">
        <v>1058</v>
      </c>
      <c r="D289" s="26" t="s">
        <v>688</v>
      </c>
    </row>
    <row r="290" spans="2:4">
      <c r="B290" s="26" t="s">
        <v>384</v>
      </c>
      <c r="C290" s="26" t="s">
        <v>405</v>
      </c>
      <c r="D290" s="26" t="s">
        <v>596</v>
      </c>
    </row>
    <row r="291" spans="2:4">
      <c r="B291" s="26" t="s">
        <v>384</v>
      </c>
      <c r="C291" s="26" t="s">
        <v>405</v>
      </c>
      <c r="D291" s="26" t="s">
        <v>689</v>
      </c>
    </row>
    <row r="292" spans="2:4">
      <c r="B292" s="26" t="s">
        <v>384</v>
      </c>
      <c r="C292" s="26" t="s">
        <v>425</v>
      </c>
      <c r="D292" s="26" t="s">
        <v>597</v>
      </c>
    </row>
    <row r="293" spans="2:4">
      <c r="B293" s="26" t="s">
        <v>384</v>
      </c>
      <c r="C293" s="26" t="s">
        <v>425</v>
      </c>
      <c r="D293" s="26" t="s">
        <v>690</v>
      </c>
    </row>
    <row r="294" spans="2:4">
      <c r="B294" s="26" t="s">
        <v>384</v>
      </c>
      <c r="C294" s="26" t="s">
        <v>425</v>
      </c>
      <c r="D294" s="26" t="s">
        <v>775</v>
      </c>
    </row>
    <row r="295" spans="2:4">
      <c r="B295" s="26" t="s">
        <v>384</v>
      </c>
      <c r="C295" s="26" t="s">
        <v>425</v>
      </c>
      <c r="D295" s="26" t="s">
        <v>853</v>
      </c>
    </row>
    <row r="296" spans="2:4">
      <c r="B296" s="26" t="s">
        <v>384</v>
      </c>
      <c r="C296" s="26" t="s">
        <v>442</v>
      </c>
      <c r="D296" s="26" t="s">
        <v>598</v>
      </c>
    </row>
    <row r="297" spans="2:4">
      <c r="B297" s="26" t="s">
        <v>384</v>
      </c>
      <c r="C297" s="26" t="s">
        <v>442</v>
      </c>
      <c r="D297" s="26" t="s">
        <v>691</v>
      </c>
    </row>
    <row r="298" spans="2:4">
      <c r="B298" s="26" t="s">
        <v>384</v>
      </c>
      <c r="C298" s="26" t="s">
        <v>442</v>
      </c>
      <c r="D298" s="26" t="s">
        <v>776</v>
      </c>
    </row>
    <row r="299" spans="2:4">
      <c r="B299" s="26" t="s">
        <v>384</v>
      </c>
      <c r="C299" s="200" t="s">
        <v>1059</v>
      </c>
      <c r="D299" s="26" t="s">
        <v>599</v>
      </c>
    </row>
    <row r="300" spans="2:4">
      <c r="B300" s="26" t="s">
        <v>384</v>
      </c>
      <c r="C300" s="151" t="s">
        <v>1059</v>
      </c>
      <c r="D300" s="26" t="s">
        <v>692</v>
      </c>
    </row>
    <row r="301" spans="2:4">
      <c r="B301" s="26" t="s">
        <v>384</v>
      </c>
      <c r="C301" s="151" t="s">
        <v>1059</v>
      </c>
      <c r="D301" s="26" t="s">
        <v>777</v>
      </c>
    </row>
    <row r="302" spans="2:4">
      <c r="B302" s="26" t="s">
        <v>384</v>
      </c>
      <c r="C302" s="151" t="s">
        <v>1059</v>
      </c>
      <c r="D302" s="26" t="s">
        <v>854</v>
      </c>
    </row>
    <row r="303" spans="2:4">
      <c r="B303" s="26" t="s">
        <v>384</v>
      </c>
      <c r="C303" s="151" t="s">
        <v>1059</v>
      </c>
      <c r="D303" s="26" t="s">
        <v>917</v>
      </c>
    </row>
    <row r="304" spans="2:4">
      <c r="B304" s="26" t="s">
        <v>384</v>
      </c>
      <c r="C304" s="151" t="s">
        <v>1059</v>
      </c>
      <c r="D304" s="26" t="s">
        <v>965</v>
      </c>
    </row>
    <row r="305" spans="2:4">
      <c r="B305" s="26" t="s">
        <v>384</v>
      </c>
      <c r="C305" s="151" t="s">
        <v>1059</v>
      </c>
      <c r="D305" s="26" t="s">
        <v>1002</v>
      </c>
    </row>
    <row r="306" spans="2:4">
      <c r="B306" s="26" t="s">
        <v>384</v>
      </c>
      <c r="C306" s="26" t="s">
        <v>463</v>
      </c>
      <c r="D306" s="26" t="s">
        <v>600</v>
      </c>
    </row>
    <row r="307" spans="2:4">
      <c r="B307" s="26" t="s">
        <v>384</v>
      </c>
      <c r="C307" s="26" t="s">
        <v>463</v>
      </c>
      <c r="D307" s="26" t="s">
        <v>693</v>
      </c>
    </row>
    <row r="308" spans="2:4">
      <c r="B308" s="26" t="s">
        <v>384</v>
      </c>
      <c r="C308" s="26" t="s">
        <v>463</v>
      </c>
      <c r="D308" s="26" t="s">
        <v>778</v>
      </c>
    </row>
    <row r="309" spans="2:4">
      <c r="B309" s="26" t="s">
        <v>384</v>
      </c>
      <c r="C309" s="26" t="s">
        <v>463</v>
      </c>
      <c r="D309" s="26" t="s">
        <v>855</v>
      </c>
    </row>
    <row r="310" spans="2:4">
      <c r="B310" s="26" t="s">
        <v>384</v>
      </c>
      <c r="C310" s="26" t="s">
        <v>463</v>
      </c>
      <c r="D310" s="26" t="s">
        <v>918</v>
      </c>
    </row>
    <row r="311" spans="2:4">
      <c r="B311" s="26" t="s">
        <v>384</v>
      </c>
      <c r="C311" s="26" t="s">
        <v>469</v>
      </c>
      <c r="D311" s="26" t="s">
        <v>601</v>
      </c>
    </row>
    <row r="312" spans="2:4">
      <c r="B312" s="26" t="s">
        <v>384</v>
      </c>
      <c r="C312" s="26" t="s">
        <v>469</v>
      </c>
      <c r="D312" s="26" t="s">
        <v>694</v>
      </c>
    </row>
    <row r="313" spans="2:4">
      <c r="B313" s="26" t="s">
        <v>384</v>
      </c>
      <c r="C313" s="26" t="s">
        <v>469</v>
      </c>
      <c r="D313" s="26" t="s">
        <v>779</v>
      </c>
    </row>
    <row r="314" spans="2:4">
      <c r="B314" s="26" t="s">
        <v>384</v>
      </c>
      <c r="C314" s="26" t="s">
        <v>469</v>
      </c>
      <c r="D314" s="26" t="s">
        <v>856</v>
      </c>
    </row>
    <row r="315" spans="2:4">
      <c r="B315" s="26" t="s">
        <v>384</v>
      </c>
      <c r="C315" s="26" t="s">
        <v>469</v>
      </c>
      <c r="D315" s="26" t="s">
        <v>919</v>
      </c>
    </row>
    <row r="316" spans="2:4">
      <c r="B316" s="26" t="s">
        <v>384</v>
      </c>
      <c r="C316" s="26" t="s">
        <v>475</v>
      </c>
      <c r="D316" s="26" t="s">
        <v>602</v>
      </c>
    </row>
    <row r="317" spans="2:4">
      <c r="B317" s="26" t="s">
        <v>384</v>
      </c>
      <c r="C317" s="26" t="s">
        <v>475</v>
      </c>
      <c r="D317" s="26" t="s">
        <v>1060</v>
      </c>
    </row>
    <row r="318" spans="2:4">
      <c r="B318" s="26" t="s">
        <v>384</v>
      </c>
      <c r="C318" s="26" t="s">
        <v>475</v>
      </c>
      <c r="D318" s="26" t="s">
        <v>780</v>
      </c>
    </row>
    <row r="319" spans="2:4">
      <c r="B319" s="26" t="s">
        <v>384</v>
      </c>
      <c r="C319" s="26" t="s">
        <v>475</v>
      </c>
      <c r="D319" s="26" t="s">
        <v>1061</v>
      </c>
    </row>
    <row r="320" spans="2:4">
      <c r="B320" s="26" t="s">
        <v>384</v>
      </c>
      <c r="C320" s="26" t="s">
        <v>475</v>
      </c>
      <c r="D320" s="26" t="s">
        <v>1062</v>
      </c>
    </row>
    <row r="321" spans="2:4">
      <c r="B321" s="26" t="s">
        <v>384</v>
      </c>
      <c r="C321" s="26" t="s">
        <v>475</v>
      </c>
      <c r="D321" s="26" t="s">
        <v>1063</v>
      </c>
    </row>
    <row r="322" spans="2:4">
      <c r="B322" s="26" t="s">
        <v>384</v>
      </c>
      <c r="C322" s="26" t="s">
        <v>475</v>
      </c>
      <c r="D322" s="26" t="s">
        <v>1003</v>
      </c>
    </row>
    <row r="323" spans="2:4">
      <c r="B323" s="26" t="s">
        <v>384</v>
      </c>
      <c r="C323" s="26" t="s">
        <v>475</v>
      </c>
      <c r="D323" s="26" t="s">
        <v>1026</v>
      </c>
    </row>
    <row r="324" spans="2:4">
      <c r="B324" s="26" t="s">
        <v>384</v>
      </c>
      <c r="C324" s="26" t="s">
        <v>480</v>
      </c>
      <c r="D324" s="26" t="s">
        <v>603</v>
      </c>
    </row>
    <row r="325" spans="2:4">
      <c r="B325" s="26" t="s">
        <v>384</v>
      </c>
      <c r="C325" s="26" t="s">
        <v>480</v>
      </c>
      <c r="D325" s="26" t="s">
        <v>696</v>
      </c>
    </row>
    <row r="326" spans="2:4">
      <c r="B326" s="26" t="s">
        <v>384</v>
      </c>
      <c r="C326" s="26" t="s">
        <v>480</v>
      </c>
      <c r="D326" s="26" t="s">
        <v>781</v>
      </c>
    </row>
    <row r="327" spans="2:4">
      <c r="B327" s="26" t="s">
        <v>384</v>
      </c>
      <c r="C327" s="26" t="s">
        <v>480</v>
      </c>
      <c r="D327" s="26" t="s">
        <v>858</v>
      </c>
    </row>
    <row r="328" spans="2:4">
      <c r="B328" s="26" t="s">
        <v>384</v>
      </c>
      <c r="C328" s="26" t="s">
        <v>480</v>
      </c>
      <c r="D328" s="26" t="s">
        <v>921</v>
      </c>
    </row>
    <row r="329" spans="2:4">
      <c r="B329" s="26" t="s">
        <v>384</v>
      </c>
      <c r="C329" s="26" t="s">
        <v>480</v>
      </c>
      <c r="D329" s="26" t="s">
        <v>967</v>
      </c>
    </row>
    <row r="330" spans="2:4">
      <c r="B330" s="26" t="s">
        <v>384</v>
      </c>
      <c r="C330" s="26" t="s">
        <v>484</v>
      </c>
      <c r="D330" s="26" t="s">
        <v>604</v>
      </c>
    </row>
    <row r="331" spans="2:4">
      <c r="B331" s="26" t="s">
        <v>384</v>
      </c>
      <c r="C331" s="26" t="s">
        <v>484</v>
      </c>
      <c r="D331" s="26" t="s">
        <v>697</v>
      </c>
    </row>
    <row r="332" spans="2:4">
      <c r="B332" s="26" t="s">
        <v>384</v>
      </c>
      <c r="C332" s="26" t="s">
        <v>484</v>
      </c>
      <c r="D332" s="26" t="s">
        <v>782</v>
      </c>
    </row>
    <row r="333" spans="2:4">
      <c r="B333" s="26" t="s">
        <v>384</v>
      </c>
      <c r="C333" s="26" t="s">
        <v>484</v>
      </c>
      <c r="D333" s="26" t="s">
        <v>859</v>
      </c>
    </row>
    <row r="334" spans="2:4">
      <c r="B334" s="26" t="s">
        <v>384</v>
      </c>
      <c r="C334" s="26" t="s">
        <v>484</v>
      </c>
      <c r="D334" s="26" t="s">
        <v>922</v>
      </c>
    </row>
    <row r="335" spans="2:4">
      <c r="B335" s="26" t="s">
        <v>384</v>
      </c>
      <c r="C335" s="26" t="s">
        <v>484</v>
      </c>
      <c r="D335" s="26" t="s">
        <v>968</v>
      </c>
    </row>
    <row r="336" spans="2:4">
      <c r="B336" s="26" t="s">
        <v>384</v>
      </c>
      <c r="C336" s="26" t="s">
        <v>484</v>
      </c>
      <c r="D336" s="26" t="s">
        <v>1004</v>
      </c>
    </row>
    <row r="337" spans="2:4">
      <c r="B337" s="26" t="s">
        <v>384</v>
      </c>
      <c r="C337" s="26" t="s">
        <v>484</v>
      </c>
      <c r="D337" s="26" t="s">
        <v>1027</v>
      </c>
    </row>
    <row r="338" spans="2:4">
      <c r="B338" s="26" t="s">
        <v>384</v>
      </c>
      <c r="C338" s="26" t="s">
        <v>488</v>
      </c>
      <c r="D338" s="26" t="s">
        <v>605</v>
      </c>
    </row>
    <row r="339" spans="2:4">
      <c r="B339" s="26" t="s">
        <v>384</v>
      </c>
      <c r="C339" s="26" t="s">
        <v>488</v>
      </c>
      <c r="D339" s="26" t="s">
        <v>698</v>
      </c>
    </row>
    <row r="340" spans="2:4">
      <c r="B340" s="26" t="s">
        <v>384</v>
      </c>
      <c r="C340" s="26" t="s">
        <v>488</v>
      </c>
      <c r="D340" s="26" t="s">
        <v>783</v>
      </c>
    </row>
    <row r="341" spans="2:4">
      <c r="B341" s="26" t="s">
        <v>384</v>
      </c>
      <c r="C341" s="26" t="s">
        <v>488</v>
      </c>
      <c r="D341" s="26" t="s">
        <v>860</v>
      </c>
    </row>
    <row r="342" spans="2:4">
      <c r="B342" s="26" t="s">
        <v>384</v>
      </c>
      <c r="C342" s="26" t="s">
        <v>491</v>
      </c>
      <c r="D342" s="26" t="s">
        <v>606</v>
      </c>
    </row>
    <row r="343" spans="2:4">
      <c r="B343" s="26" t="s">
        <v>384</v>
      </c>
      <c r="C343" s="26" t="s">
        <v>491</v>
      </c>
      <c r="D343" s="26" t="s">
        <v>699</v>
      </c>
    </row>
    <row r="344" spans="2:4">
      <c r="B344" s="26" t="s">
        <v>384</v>
      </c>
      <c r="C344" s="26" t="s">
        <v>491</v>
      </c>
      <c r="D344" s="26" t="s">
        <v>784</v>
      </c>
    </row>
    <row r="345" spans="2:4">
      <c r="B345" s="26" t="s">
        <v>384</v>
      </c>
      <c r="C345" s="26" t="s">
        <v>491</v>
      </c>
      <c r="D345" s="26" t="s">
        <v>861</v>
      </c>
    </row>
    <row r="346" spans="2:4">
      <c r="B346" s="26" t="s">
        <v>384</v>
      </c>
      <c r="C346" s="26" t="s">
        <v>491</v>
      </c>
      <c r="D346" s="26" t="s">
        <v>923</v>
      </c>
    </row>
    <row r="347" spans="2:4">
      <c r="B347" s="26" t="s">
        <v>384</v>
      </c>
      <c r="C347" s="26" t="s">
        <v>491</v>
      </c>
      <c r="D347" s="26" t="s">
        <v>969</v>
      </c>
    </row>
    <row r="348" spans="2:4">
      <c r="B348" s="26" t="s">
        <v>384</v>
      </c>
      <c r="C348" s="26" t="s">
        <v>491</v>
      </c>
      <c r="D348" s="26" t="s">
        <v>1005</v>
      </c>
    </row>
    <row r="349" spans="2:4">
      <c r="B349" s="26" t="s">
        <v>384</v>
      </c>
      <c r="C349" s="26" t="s">
        <v>491</v>
      </c>
      <c r="D349" s="26" t="s">
        <v>1028</v>
      </c>
    </row>
    <row r="350" spans="2:4">
      <c r="B350" s="26" t="s">
        <v>384</v>
      </c>
      <c r="C350" s="26" t="s">
        <v>491</v>
      </c>
      <c r="D350" s="26" t="s">
        <v>1043</v>
      </c>
    </row>
    <row r="351" spans="2:4">
      <c r="B351" s="26" t="s">
        <v>384</v>
      </c>
      <c r="C351" s="26" t="s">
        <v>491</v>
      </c>
      <c r="D351" s="26" t="s">
        <v>1053</v>
      </c>
    </row>
    <row r="352" spans="2:4">
      <c r="B352" s="26" t="s">
        <v>384</v>
      </c>
      <c r="C352" s="26" t="s">
        <v>496</v>
      </c>
      <c r="D352" s="26" t="s">
        <v>607</v>
      </c>
    </row>
    <row r="353" spans="2:4">
      <c r="B353" s="26" t="s">
        <v>384</v>
      </c>
      <c r="C353" s="26" t="s">
        <v>496</v>
      </c>
      <c r="D353" s="26" t="s">
        <v>700</v>
      </c>
    </row>
    <row r="354" spans="2:4">
      <c r="B354" s="26" t="s">
        <v>384</v>
      </c>
      <c r="C354" s="26" t="s">
        <v>496</v>
      </c>
      <c r="D354" s="26" t="s">
        <v>785</v>
      </c>
    </row>
    <row r="355" spans="2:4">
      <c r="B355" s="26" t="s">
        <v>384</v>
      </c>
      <c r="C355" s="26" t="s">
        <v>496</v>
      </c>
      <c r="D355" s="26" t="s">
        <v>862</v>
      </c>
    </row>
    <row r="356" spans="2:4">
      <c r="B356" s="26" t="s">
        <v>385</v>
      </c>
      <c r="C356" s="26" t="s">
        <v>406</v>
      </c>
      <c r="D356" s="26" t="s">
        <v>608</v>
      </c>
    </row>
    <row r="357" spans="2:4">
      <c r="B357" s="26" t="s">
        <v>385</v>
      </c>
      <c r="C357" s="26" t="s">
        <v>406</v>
      </c>
      <c r="D357" s="26" t="s">
        <v>701</v>
      </c>
    </row>
    <row r="358" spans="2:4">
      <c r="B358" s="26" t="s">
        <v>385</v>
      </c>
      <c r="C358" s="26" t="s">
        <v>406</v>
      </c>
      <c r="D358" s="26" t="s">
        <v>786</v>
      </c>
    </row>
    <row r="359" spans="2:4">
      <c r="B359" s="26" t="s">
        <v>385</v>
      </c>
      <c r="C359" s="26" t="s">
        <v>426</v>
      </c>
      <c r="D359" s="26" t="s">
        <v>609</v>
      </c>
    </row>
    <row r="360" spans="2:4">
      <c r="B360" s="26" t="s">
        <v>385</v>
      </c>
      <c r="C360" s="26" t="s">
        <v>426</v>
      </c>
      <c r="D360" s="26" t="s">
        <v>702</v>
      </c>
    </row>
    <row r="361" spans="2:4">
      <c r="B361" s="26" t="s">
        <v>385</v>
      </c>
      <c r="C361" s="26" t="s">
        <v>426</v>
      </c>
      <c r="D361" s="26" t="s">
        <v>787</v>
      </c>
    </row>
    <row r="362" spans="2:4" ht="36">
      <c r="B362" s="26" t="s">
        <v>385</v>
      </c>
      <c r="C362" s="200" t="s">
        <v>1064</v>
      </c>
      <c r="D362" s="26" t="s">
        <v>610</v>
      </c>
    </row>
    <row r="363" spans="2:4" ht="36">
      <c r="B363" s="26" t="s">
        <v>385</v>
      </c>
      <c r="C363" s="151" t="s">
        <v>1064</v>
      </c>
      <c r="D363" s="26" t="s">
        <v>703</v>
      </c>
    </row>
    <row r="364" spans="2:4" ht="36">
      <c r="B364" s="26" t="s">
        <v>385</v>
      </c>
      <c r="C364" s="151" t="s">
        <v>1064</v>
      </c>
      <c r="D364" s="26" t="s">
        <v>788</v>
      </c>
    </row>
    <row r="365" spans="2:4" ht="36">
      <c r="B365" s="26" t="s">
        <v>385</v>
      </c>
      <c r="C365" s="151" t="s">
        <v>1064</v>
      </c>
      <c r="D365" s="26" t="s">
        <v>863</v>
      </c>
    </row>
    <row r="366" spans="2:4" ht="36">
      <c r="B366" s="26" t="s">
        <v>385</v>
      </c>
      <c r="C366" s="151" t="s">
        <v>1064</v>
      </c>
      <c r="D366" s="26" t="s">
        <v>924</v>
      </c>
    </row>
    <row r="367" spans="2:4">
      <c r="B367" s="26" t="s">
        <v>385</v>
      </c>
      <c r="C367" s="26" t="s">
        <v>1065</v>
      </c>
      <c r="D367" s="26" t="s">
        <v>611</v>
      </c>
    </row>
    <row r="368" spans="2:4">
      <c r="B368" s="26" t="s">
        <v>385</v>
      </c>
      <c r="C368" s="26" t="s">
        <v>1065</v>
      </c>
      <c r="D368" s="26" t="s">
        <v>704</v>
      </c>
    </row>
    <row r="369" spans="2:4">
      <c r="B369" s="26" t="s">
        <v>385</v>
      </c>
      <c r="C369" s="26" t="s">
        <v>1065</v>
      </c>
      <c r="D369" s="26" t="s">
        <v>789</v>
      </c>
    </row>
    <row r="370" spans="2:4">
      <c r="B370" s="26" t="s">
        <v>385</v>
      </c>
      <c r="C370" s="26" t="s">
        <v>464</v>
      </c>
      <c r="D370" s="26" t="s">
        <v>612</v>
      </c>
    </row>
    <row r="371" spans="2:4">
      <c r="B371" s="26" t="s">
        <v>385</v>
      </c>
      <c r="C371" s="26" t="s">
        <v>464</v>
      </c>
      <c r="D371" s="26" t="s">
        <v>705</v>
      </c>
    </row>
    <row r="372" spans="2:4">
      <c r="B372" s="26" t="s">
        <v>385</v>
      </c>
      <c r="C372" s="26" t="s">
        <v>464</v>
      </c>
      <c r="D372" s="26" t="s">
        <v>790</v>
      </c>
    </row>
    <row r="373" spans="2:4">
      <c r="B373" s="26" t="s">
        <v>385</v>
      </c>
      <c r="C373" s="26" t="s">
        <v>464</v>
      </c>
      <c r="D373" s="26" t="s">
        <v>864</v>
      </c>
    </row>
    <row r="374" spans="2:4" ht="36">
      <c r="B374" s="26" t="s">
        <v>385</v>
      </c>
      <c r="C374" s="200" t="s">
        <v>1066</v>
      </c>
      <c r="D374" s="26" t="s">
        <v>613</v>
      </c>
    </row>
    <row r="375" spans="2:4" ht="36">
      <c r="B375" s="26" t="s">
        <v>385</v>
      </c>
      <c r="C375" s="151" t="s">
        <v>1066</v>
      </c>
      <c r="D375" s="26" t="s">
        <v>706</v>
      </c>
    </row>
    <row r="376" spans="2:4" ht="36">
      <c r="B376" s="26" t="s">
        <v>385</v>
      </c>
      <c r="C376" s="151" t="s">
        <v>1066</v>
      </c>
      <c r="D376" s="26" t="s">
        <v>791</v>
      </c>
    </row>
    <row r="377" spans="2:4" ht="36">
      <c r="B377" s="26" t="s">
        <v>385</v>
      </c>
      <c r="C377" s="151" t="s">
        <v>1066</v>
      </c>
      <c r="D377" s="26" t="s">
        <v>1067</v>
      </c>
    </row>
    <row r="378" spans="2:4" ht="36">
      <c r="B378" s="26" t="s">
        <v>385</v>
      </c>
      <c r="C378" s="151" t="s">
        <v>1066</v>
      </c>
      <c r="D378" s="26" t="s">
        <v>925</v>
      </c>
    </row>
    <row r="379" spans="2:4" ht="36">
      <c r="B379" s="26" t="s">
        <v>385</v>
      </c>
      <c r="C379" s="151" t="s">
        <v>1066</v>
      </c>
      <c r="D379" s="26" t="s">
        <v>970</v>
      </c>
    </row>
    <row r="380" spans="2:4">
      <c r="B380" s="26" t="s">
        <v>386</v>
      </c>
      <c r="C380" s="26" t="s">
        <v>407</v>
      </c>
      <c r="D380" s="26" t="s">
        <v>614</v>
      </c>
    </row>
    <row r="381" spans="2:4">
      <c r="B381" s="26" t="s">
        <v>386</v>
      </c>
      <c r="C381" s="26" t="s">
        <v>407</v>
      </c>
      <c r="D381" s="26" t="s">
        <v>707</v>
      </c>
    </row>
    <row r="382" spans="2:4">
      <c r="B382" s="26" t="s">
        <v>386</v>
      </c>
      <c r="C382" s="26" t="s">
        <v>407</v>
      </c>
      <c r="D382" s="26" t="s">
        <v>792</v>
      </c>
    </row>
    <row r="383" spans="2:4">
      <c r="B383" s="26" t="s">
        <v>386</v>
      </c>
      <c r="C383" s="26" t="s">
        <v>427</v>
      </c>
      <c r="D383" s="26" t="s">
        <v>615</v>
      </c>
    </row>
    <row r="384" spans="2:4">
      <c r="B384" s="26" t="s">
        <v>386</v>
      </c>
      <c r="C384" s="26" t="s">
        <v>427</v>
      </c>
      <c r="D384" s="26" t="s">
        <v>708</v>
      </c>
    </row>
    <row r="385" spans="2:4">
      <c r="B385" s="26" t="s">
        <v>386</v>
      </c>
      <c r="C385" s="26" t="s">
        <v>427</v>
      </c>
      <c r="D385" s="26" t="s">
        <v>793</v>
      </c>
    </row>
    <row r="386" spans="2:4">
      <c r="B386" s="26" t="s">
        <v>386</v>
      </c>
      <c r="C386" s="26" t="s">
        <v>427</v>
      </c>
      <c r="D386" s="26" t="s">
        <v>866</v>
      </c>
    </row>
    <row r="387" spans="2:4">
      <c r="B387" s="26" t="s">
        <v>386</v>
      </c>
      <c r="C387" s="26" t="s">
        <v>427</v>
      </c>
      <c r="D387" s="26" t="s">
        <v>926</v>
      </c>
    </row>
    <row r="388" spans="2:4">
      <c r="B388" s="26" t="s">
        <v>386</v>
      </c>
      <c r="C388" s="26" t="s">
        <v>444</v>
      </c>
      <c r="D388" s="26" t="s">
        <v>616</v>
      </c>
    </row>
    <row r="389" spans="2:4">
      <c r="B389" s="26" t="s">
        <v>386</v>
      </c>
      <c r="C389" s="26" t="s">
        <v>444</v>
      </c>
      <c r="D389" s="26" t="s">
        <v>709</v>
      </c>
    </row>
    <row r="390" spans="2:4">
      <c r="B390" s="26" t="s">
        <v>386</v>
      </c>
      <c r="C390" s="26" t="s">
        <v>444</v>
      </c>
      <c r="D390" s="26" t="s">
        <v>794</v>
      </c>
    </row>
    <row r="391" spans="2:4">
      <c r="B391" s="26" t="s">
        <v>386</v>
      </c>
      <c r="C391" s="26" t="s">
        <v>444</v>
      </c>
      <c r="D391" s="26" t="s">
        <v>867</v>
      </c>
    </row>
    <row r="392" spans="2:4">
      <c r="B392" s="26" t="s">
        <v>386</v>
      </c>
      <c r="C392" s="26" t="s">
        <v>444</v>
      </c>
      <c r="D392" s="26" t="s">
        <v>927</v>
      </c>
    </row>
    <row r="393" spans="2:4">
      <c r="B393" s="26" t="s">
        <v>386</v>
      </c>
      <c r="C393" s="26" t="s">
        <v>444</v>
      </c>
      <c r="D393" s="26" t="s">
        <v>971</v>
      </c>
    </row>
    <row r="394" spans="2:4">
      <c r="B394" s="26" t="s">
        <v>386</v>
      </c>
      <c r="C394" s="26" t="s">
        <v>444</v>
      </c>
      <c r="D394" s="26" t="s">
        <v>1006</v>
      </c>
    </row>
    <row r="395" spans="2:4">
      <c r="B395" s="26" t="s">
        <v>387</v>
      </c>
      <c r="C395" s="26" t="s">
        <v>408</v>
      </c>
      <c r="D395" s="26" t="s">
        <v>617</v>
      </c>
    </row>
    <row r="396" spans="2:4">
      <c r="B396" s="26" t="s">
        <v>387</v>
      </c>
      <c r="C396" s="26" t="s">
        <v>408</v>
      </c>
      <c r="D396" s="26" t="s">
        <v>710</v>
      </c>
    </row>
    <row r="397" spans="2:4">
      <c r="B397" s="26" t="s">
        <v>387</v>
      </c>
      <c r="C397" s="26" t="s">
        <v>408</v>
      </c>
      <c r="D397" s="26" t="s">
        <v>795</v>
      </c>
    </row>
    <row r="398" spans="2:4">
      <c r="B398" s="26" t="s">
        <v>387</v>
      </c>
      <c r="C398" s="26" t="s">
        <v>1068</v>
      </c>
      <c r="D398" s="26" t="s">
        <v>618</v>
      </c>
    </row>
    <row r="399" spans="2:4">
      <c r="B399" s="26" t="s">
        <v>387</v>
      </c>
      <c r="C399" s="26" t="s">
        <v>1068</v>
      </c>
      <c r="D399" s="26" t="s">
        <v>711</v>
      </c>
    </row>
    <row r="400" spans="2:4">
      <c r="B400" s="26" t="s">
        <v>387</v>
      </c>
      <c r="C400" s="26" t="s">
        <v>1068</v>
      </c>
      <c r="D400" s="26" t="s">
        <v>796</v>
      </c>
    </row>
    <row r="401" spans="2:4">
      <c r="B401" s="26" t="s">
        <v>387</v>
      </c>
      <c r="C401" s="26" t="s">
        <v>1068</v>
      </c>
      <c r="D401" s="26" t="s">
        <v>868</v>
      </c>
    </row>
    <row r="402" spans="2:4">
      <c r="B402" s="26" t="s">
        <v>387</v>
      </c>
      <c r="C402" s="26" t="s">
        <v>1068</v>
      </c>
      <c r="D402" s="26" t="s">
        <v>928</v>
      </c>
    </row>
    <row r="403" spans="2:4">
      <c r="B403" s="26" t="s">
        <v>387</v>
      </c>
      <c r="C403" s="26" t="s">
        <v>1068</v>
      </c>
      <c r="D403" s="26" t="s">
        <v>972</v>
      </c>
    </row>
    <row r="404" spans="2:4">
      <c r="B404" s="26" t="s">
        <v>387</v>
      </c>
      <c r="C404" s="26" t="s">
        <v>1068</v>
      </c>
      <c r="D404" s="26" t="s">
        <v>1007</v>
      </c>
    </row>
    <row r="405" spans="2:4">
      <c r="B405" s="26" t="s">
        <v>387</v>
      </c>
      <c r="C405" s="26" t="s">
        <v>1068</v>
      </c>
      <c r="D405" s="26" t="s">
        <v>1029</v>
      </c>
    </row>
    <row r="406" spans="2:4">
      <c r="B406" s="26" t="s">
        <v>387</v>
      </c>
      <c r="C406" s="26" t="s">
        <v>1068</v>
      </c>
      <c r="D406" s="26" t="s">
        <v>1044</v>
      </c>
    </row>
    <row r="407" spans="2:4">
      <c r="B407" s="26" t="s">
        <v>387</v>
      </c>
      <c r="C407" s="26" t="s">
        <v>1068</v>
      </c>
      <c r="D407" s="26" t="s">
        <v>1054</v>
      </c>
    </row>
    <row r="408" spans="2:4">
      <c r="B408" s="26" t="s">
        <v>387</v>
      </c>
      <c r="C408" s="26" t="s">
        <v>445</v>
      </c>
      <c r="D408" s="26" t="s">
        <v>619</v>
      </c>
    </row>
    <row r="409" spans="2:4">
      <c r="B409" s="26" t="s">
        <v>387</v>
      </c>
      <c r="C409" s="26" t="s">
        <v>445</v>
      </c>
      <c r="D409" s="26" t="s">
        <v>712</v>
      </c>
    </row>
    <row r="410" spans="2:4">
      <c r="B410" s="26" t="s">
        <v>387</v>
      </c>
      <c r="C410" s="26" t="s">
        <v>1069</v>
      </c>
      <c r="D410" s="26" t="s">
        <v>620</v>
      </c>
    </row>
    <row r="411" spans="2:4">
      <c r="B411" s="26" t="s">
        <v>387</v>
      </c>
      <c r="C411" s="26" t="s">
        <v>1069</v>
      </c>
      <c r="D411" s="26" t="s">
        <v>713</v>
      </c>
    </row>
    <row r="412" spans="2:4">
      <c r="B412" s="26" t="s">
        <v>387</v>
      </c>
      <c r="C412" s="26" t="s">
        <v>1069</v>
      </c>
      <c r="D412" s="26" t="s">
        <v>797</v>
      </c>
    </row>
    <row r="413" spans="2:4">
      <c r="B413" s="26" t="s">
        <v>387</v>
      </c>
      <c r="C413" s="26" t="s">
        <v>1069</v>
      </c>
      <c r="D413" s="26" t="s">
        <v>869</v>
      </c>
    </row>
    <row r="414" spans="2:4">
      <c r="B414" s="26" t="s">
        <v>387</v>
      </c>
      <c r="C414" s="26" t="s">
        <v>1069</v>
      </c>
      <c r="D414" s="26" t="s">
        <v>929</v>
      </c>
    </row>
    <row r="415" spans="2:4">
      <c r="B415" s="26" t="s">
        <v>387</v>
      </c>
      <c r="C415" s="26" t="s">
        <v>1069</v>
      </c>
      <c r="D415" s="26" t="s">
        <v>973</v>
      </c>
    </row>
    <row r="416" spans="2:4">
      <c r="B416" s="26" t="s">
        <v>387</v>
      </c>
      <c r="C416" s="26" t="s">
        <v>1069</v>
      </c>
      <c r="D416" s="26" t="s">
        <v>1008</v>
      </c>
    </row>
    <row r="417" spans="2:99">
      <c r="B417" s="26" t="s">
        <v>387</v>
      </c>
      <c r="C417" s="26" t="s">
        <v>1069</v>
      </c>
      <c r="D417" s="26" t="s">
        <v>1030</v>
      </c>
    </row>
    <row r="418" spans="2:99">
      <c r="B418" s="26" t="s">
        <v>388</v>
      </c>
      <c r="C418" s="26" t="s">
        <v>409</v>
      </c>
      <c r="D418" s="26" t="s">
        <v>621</v>
      </c>
    </row>
    <row r="419" spans="2:99">
      <c r="B419" s="26" t="s">
        <v>388</v>
      </c>
      <c r="C419" s="26" t="s">
        <v>409</v>
      </c>
      <c r="D419" s="26" t="s">
        <v>714</v>
      </c>
    </row>
    <row r="420" spans="2:99">
      <c r="B420" s="26" t="s">
        <v>388</v>
      </c>
      <c r="C420" s="26" t="s">
        <v>409</v>
      </c>
      <c r="D420" s="26" t="s">
        <v>798</v>
      </c>
    </row>
    <row r="421" spans="2:99">
      <c r="B421" s="26" t="s">
        <v>388</v>
      </c>
      <c r="C421" s="26" t="s">
        <v>409</v>
      </c>
      <c r="D421" s="26" t="s">
        <v>870</v>
      </c>
    </row>
    <row r="422" spans="2:99">
      <c r="B422" s="26" t="s">
        <v>388</v>
      </c>
      <c r="C422" s="26" t="s">
        <v>409</v>
      </c>
      <c r="D422" s="26" t="s">
        <v>930</v>
      </c>
    </row>
    <row r="423" spans="2:99">
      <c r="B423" s="26" t="s">
        <v>388</v>
      </c>
      <c r="C423" s="26" t="s">
        <v>429</v>
      </c>
      <c r="D423" s="26" t="s">
        <v>622</v>
      </c>
    </row>
    <row r="424" spans="2:99">
      <c r="B424" s="26" t="s">
        <v>388</v>
      </c>
      <c r="C424" s="26" t="s">
        <v>429</v>
      </c>
      <c r="D424" s="26" t="s">
        <v>715</v>
      </c>
    </row>
    <row r="425" spans="2:99">
      <c r="B425" s="26" t="s">
        <v>388</v>
      </c>
      <c r="C425" s="26" t="s">
        <v>429</v>
      </c>
      <c r="D425" s="26" t="s">
        <v>799</v>
      </c>
    </row>
    <row r="426" spans="2:99">
      <c r="B426" s="26" t="s">
        <v>388</v>
      </c>
      <c r="C426" s="26" t="s">
        <v>429</v>
      </c>
      <c r="D426" s="26" t="s">
        <v>871</v>
      </c>
    </row>
    <row r="427" spans="2:99">
      <c r="B427" s="26" t="s">
        <v>388</v>
      </c>
      <c r="C427" s="26" t="s">
        <v>429</v>
      </c>
      <c r="D427" s="26" t="s">
        <v>931</v>
      </c>
    </row>
    <row r="428" spans="2:99">
      <c r="B428" s="26" t="s">
        <v>388</v>
      </c>
      <c r="C428" s="26" t="s">
        <v>429</v>
      </c>
      <c r="D428" s="26" t="s">
        <v>974</v>
      </c>
      <c r="CN428" s="1">
        <v>1</v>
      </c>
      <c r="CO428" s="1">
        <v>0</v>
      </c>
      <c r="CP428" s="1">
        <v>0</v>
      </c>
      <c r="CQ428" s="1">
        <v>0</v>
      </c>
      <c r="CR428" s="1">
        <v>0</v>
      </c>
      <c r="CS428" s="1">
        <v>0</v>
      </c>
      <c r="CT428" s="1">
        <v>0</v>
      </c>
      <c r="CU428" s="1">
        <v>0</v>
      </c>
    </row>
    <row r="429" spans="2:99">
      <c r="B429" s="26" t="s">
        <v>388</v>
      </c>
      <c r="C429" s="26" t="s">
        <v>429</v>
      </c>
      <c r="D429" s="26" t="s">
        <v>1009</v>
      </c>
      <c r="CN429" s="1">
        <v>1</v>
      </c>
      <c r="CO429" s="1">
        <v>0</v>
      </c>
      <c r="CP429" s="1">
        <v>0</v>
      </c>
      <c r="CQ429" s="1">
        <v>0</v>
      </c>
      <c r="CR429" s="1">
        <v>0</v>
      </c>
      <c r="CS429" s="1">
        <v>0</v>
      </c>
      <c r="CT429" s="1">
        <v>0</v>
      </c>
      <c r="CU429" s="1">
        <v>0</v>
      </c>
    </row>
    <row r="430" spans="2:99">
      <c r="B430" s="26" t="s">
        <v>388</v>
      </c>
      <c r="C430" s="26" t="s">
        <v>429</v>
      </c>
      <c r="D430" s="26" t="s">
        <v>1031</v>
      </c>
      <c r="CN430" s="1">
        <v>1</v>
      </c>
      <c r="CO430" s="1">
        <v>0</v>
      </c>
      <c r="CP430" s="1">
        <v>0</v>
      </c>
      <c r="CQ430" s="1">
        <v>0</v>
      </c>
      <c r="CR430" s="1">
        <v>0</v>
      </c>
      <c r="CS430" s="1">
        <v>1</v>
      </c>
      <c r="CT430" s="1">
        <v>0</v>
      </c>
      <c r="CU430" s="1">
        <v>0</v>
      </c>
    </row>
    <row r="431" spans="2:99">
      <c r="B431" s="26" t="s">
        <v>388</v>
      </c>
      <c r="C431" s="26" t="s">
        <v>429</v>
      </c>
      <c r="D431" s="26" t="s">
        <v>1045</v>
      </c>
      <c r="CN431" s="1">
        <v>1</v>
      </c>
      <c r="CO431" s="1">
        <v>0</v>
      </c>
      <c r="CP431" s="1">
        <v>0</v>
      </c>
      <c r="CQ431" s="1">
        <v>0</v>
      </c>
      <c r="CR431" s="1">
        <v>0</v>
      </c>
      <c r="CS431" s="1">
        <v>1</v>
      </c>
      <c r="CT431" s="1">
        <v>0</v>
      </c>
      <c r="CU431" s="1">
        <v>0</v>
      </c>
    </row>
    <row r="432" spans="2:99">
      <c r="B432" s="26" t="s">
        <v>388</v>
      </c>
      <c r="C432" s="26" t="s">
        <v>446</v>
      </c>
      <c r="D432" s="26" t="s">
        <v>623</v>
      </c>
      <c r="CN432" s="1">
        <v>1</v>
      </c>
      <c r="CO432" s="1">
        <v>0</v>
      </c>
      <c r="CP432" s="1">
        <v>0</v>
      </c>
      <c r="CQ432" s="1">
        <v>0</v>
      </c>
      <c r="CR432" s="1">
        <v>0</v>
      </c>
      <c r="CS432" s="1">
        <v>1</v>
      </c>
      <c r="CT432" s="1">
        <v>0</v>
      </c>
      <c r="CU432" s="1">
        <v>0</v>
      </c>
    </row>
    <row r="433" spans="2:4">
      <c r="B433" s="26" t="s">
        <v>388</v>
      </c>
      <c r="C433" s="26" t="s">
        <v>446</v>
      </c>
      <c r="D433" s="26" t="s">
        <v>716</v>
      </c>
    </row>
    <row r="434" spans="2:4">
      <c r="B434" s="26" t="s">
        <v>388</v>
      </c>
      <c r="C434" s="26" t="s">
        <v>446</v>
      </c>
      <c r="D434" s="26" t="s">
        <v>800</v>
      </c>
    </row>
    <row r="435" spans="2:4">
      <c r="B435" s="26" t="s">
        <v>388</v>
      </c>
      <c r="C435" s="26" t="s">
        <v>446</v>
      </c>
      <c r="D435" s="26" t="s">
        <v>1070</v>
      </c>
    </row>
    <row r="436" spans="2:4">
      <c r="B436" s="26" t="s">
        <v>389</v>
      </c>
      <c r="C436" s="26" t="s">
        <v>410</v>
      </c>
      <c r="D436" s="26" t="s">
        <v>624</v>
      </c>
    </row>
    <row r="437" spans="2:4">
      <c r="B437" s="26" t="s">
        <v>389</v>
      </c>
      <c r="C437" s="26" t="s">
        <v>410</v>
      </c>
      <c r="D437" s="26" t="s">
        <v>717</v>
      </c>
    </row>
    <row r="438" spans="2:4">
      <c r="B438" s="26" t="s">
        <v>389</v>
      </c>
      <c r="C438" s="26" t="s">
        <v>410</v>
      </c>
      <c r="D438" s="26" t="s">
        <v>801</v>
      </c>
    </row>
    <row r="439" spans="2:4">
      <c r="B439" s="26" t="s">
        <v>389</v>
      </c>
      <c r="C439" s="26" t="s">
        <v>410</v>
      </c>
      <c r="D439" s="26" t="s">
        <v>873</v>
      </c>
    </row>
    <row r="440" spans="2:4">
      <c r="B440" s="26" t="s">
        <v>389</v>
      </c>
      <c r="C440" s="26" t="s">
        <v>410</v>
      </c>
      <c r="D440" s="26" t="s">
        <v>932</v>
      </c>
    </row>
    <row r="441" spans="2:4">
      <c r="B441" s="26" t="s">
        <v>389</v>
      </c>
      <c r="C441" s="26" t="s">
        <v>410</v>
      </c>
      <c r="D441" s="26" t="s">
        <v>975</v>
      </c>
    </row>
    <row r="442" spans="2:4">
      <c r="B442" s="26" t="s">
        <v>389</v>
      </c>
      <c r="C442" s="26" t="s">
        <v>410</v>
      </c>
      <c r="D442" s="26" t="s">
        <v>1010</v>
      </c>
    </row>
    <row r="443" spans="2:4">
      <c r="B443" s="26" t="s">
        <v>389</v>
      </c>
      <c r="C443" s="26" t="s">
        <v>430</v>
      </c>
      <c r="D443" s="26" t="s">
        <v>625</v>
      </c>
    </row>
    <row r="444" spans="2:4">
      <c r="B444" s="26" t="s">
        <v>389</v>
      </c>
      <c r="C444" s="26" t="s">
        <v>430</v>
      </c>
      <c r="D444" s="26" t="s">
        <v>718</v>
      </c>
    </row>
    <row r="445" spans="2:4">
      <c r="B445" s="26" t="s">
        <v>389</v>
      </c>
      <c r="C445" s="26" t="s">
        <v>430</v>
      </c>
      <c r="D445" s="26" t="s">
        <v>802</v>
      </c>
    </row>
    <row r="446" spans="2:4">
      <c r="B446" s="26" t="s">
        <v>389</v>
      </c>
      <c r="C446" s="26" t="s">
        <v>430</v>
      </c>
      <c r="D446" s="26" t="s">
        <v>874</v>
      </c>
    </row>
    <row r="447" spans="2:4">
      <c r="B447" s="26" t="s">
        <v>389</v>
      </c>
      <c r="C447" s="26" t="s">
        <v>430</v>
      </c>
      <c r="D447" s="26" t="s">
        <v>933</v>
      </c>
    </row>
    <row r="448" spans="2:4">
      <c r="B448" s="26" t="s">
        <v>389</v>
      </c>
      <c r="C448" s="26" t="s">
        <v>430</v>
      </c>
      <c r="D448" s="26" t="s">
        <v>976</v>
      </c>
    </row>
    <row r="449" spans="2:4">
      <c r="B449" s="26" t="s">
        <v>389</v>
      </c>
      <c r="C449" s="26" t="s">
        <v>430</v>
      </c>
      <c r="D449" s="26" t="s">
        <v>1011</v>
      </c>
    </row>
    <row r="450" spans="2:4">
      <c r="B450" s="26" t="s">
        <v>389</v>
      </c>
      <c r="C450" s="26" t="s">
        <v>447</v>
      </c>
      <c r="D450" s="26" t="s">
        <v>626</v>
      </c>
    </row>
    <row r="451" spans="2:4">
      <c r="B451" s="26" t="s">
        <v>389</v>
      </c>
      <c r="C451" s="26" t="s">
        <v>447</v>
      </c>
      <c r="D451" s="26" t="s">
        <v>719</v>
      </c>
    </row>
    <row r="452" spans="2:4">
      <c r="B452" s="26" t="s">
        <v>389</v>
      </c>
      <c r="C452" s="26" t="s">
        <v>447</v>
      </c>
      <c r="D452" s="26" t="s">
        <v>803</v>
      </c>
    </row>
    <row r="453" spans="2:4">
      <c r="B453" s="26" t="s">
        <v>389</v>
      </c>
      <c r="C453" s="26" t="s">
        <v>447</v>
      </c>
      <c r="D453" s="26" t="s">
        <v>875</v>
      </c>
    </row>
    <row r="454" spans="2:4">
      <c r="B454" s="26" t="s">
        <v>389</v>
      </c>
      <c r="C454" s="26" t="s">
        <v>447</v>
      </c>
      <c r="D454" s="26" t="s">
        <v>934</v>
      </c>
    </row>
    <row r="455" spans="2:4">
      <c r="B455" s="26" t="s">
        <v>389</v>
      </c>
      <c r="C455" s="26" t="s">
        <v>447</v>
      </c>
      <c r="D455" s="26" t="s">
        <v>977</v>
      </c>
    </row>
    <row r="456" spans="2:4">
      <c r="B456" s="26" t="s">
        <v>389</v>
      </c>
      <c r="C456" s="26" t="s">
        <v>447</v>
      </c>
      <c r="D456" s="26" t="s">
        <v>1012</v>
      </c>
    </row>
    <row r="457" spans="2:4">
      <c r="B457" s="26" t="s">
        <v>389</v>
      </c>
      <c r="C457" s="26" t="s">
        <v>447</v>
      </c>
      <c r="D457" s="26" t="s">
        <v>1032</v>
      </c>
    </row>
    <row r="458" spans="2:4">
      <c r="B458" s="26" t="s">
        <v>390</v>
      </c>
      <c r="C458" s="26" t="s">
        <v>411</v>
      </c>
      <c r="D458" s="26" t="s">
        <v>627</v>
      </c>
    </row>
    <row r="459" spans="2:4">
      <c r="B459" s="26" t="s">
        <v>390</v>
      </c>
      <c r="C459" s="26" t="s">
        <v>411</v>
      </c>
      <c r="D459" s="26" t="s">
        <v>720</v>
      </c>
    </row>
    <row r="460" spans="2:4">
      <c r="B460" s="26" t="s">
        <v>390</v>
      </c>
      <c r="C460" s="26" t="s">
        <v>411</v>
      </c>
      <c r="D460" s="26" t="s">
        <v>804</v>
      </c>
    </row>
    <row r="461" spans="2:4">
      <c r="B461" s="26" t="s">
        <v>390</v>
      </c>
      <c r="C461" s="26" t="s">
        <v>411</v>
      </c>
      <c r="D461" s="26" t="s">
        <v>876</v>
      </c>
    </row>
    <row r="462" spans="2:4">
      <c r="B462" s="26" t="s">
        <v>390</v>
      </c>
      <c r="C462" s="26" t="s">
        <v>411</v>
      </c>
      <c r="D462" s="26" t="s">
        <v>935</v>
      </c>
    </row>
    <row r="463" spans="2:4">
      <c r="B463" s="26" t="s">
        <v>390</v>
      </c>
      <c r="C463" s="26" t="s">
        <v>411</v>
      </c>
      <c r="D463" s="26" t="s">
        <v>978</v>
      </c>
    </row>
    <row r="464" spans="2:4">
      <c r="B464" s="26" t="s">
        <v>390</v>
      </c>
      <c r="C464" s="26" t="s">
        <v>411</v>
      </c>
      <c r="D464" s="26" t="s">
        <v>1013</v>
      </c>
    </row>
    <row r="465" spans="2:4">
      <c r="B465" s="26" t="s">
        <v>390</v>
      </c>
      <c r="C465" s="26" t="s">
        <v>411</v>
      </c>
      <c r="D465" s="26" t="s">
        <v>1033</v>
      </c>
    </row>
    <row r="466" spans="2:4">
      <c r="B466" s="26" t="s">
        <v>390</v>
      </c>
      <c r="C466" s="26" t="s">
        <v>411</v>
      </c>
      <c r="D466" s="26" t="s">
        <v>1046</v>
      </c>
    </row>
    <row r="467" spans="2:4">
      <c r="B467" s="26" t="s">
        <v>390</v>
      </c>
      <c r="C467" s="26" t="s">
        <v>411</v>
      </c>
      <c r="D467" s="26" t="s">
        <v>1071</v>
      </c>
    </row>
    <row r="468" spans="2:4">
      <c r="B468" s="26" t="s">
        <v>390</v>
      </c>
      <c r="C468" s="26" t="s">
        <v>1072</v>
      </c>
      <c r="D468" s="26" t="s">
        <v>628</v>
      </c>
    </row>
    <row r="469" spans="2:4">
      <c r="B469" s="26" t="s">
        <v>390</v>
      </c>
      <c r="C469" s="26" t="s">
        <v>1072</v>
      </c>
      <c r="D469" s="26" t="s">
        <v>721</v>
      </c>
    </row>
    <row r="470" spans="2:4">
      <c r="B470" s="26" t="s">
        <v>390</v>
      </c>
      <c r="C470" s="26" t="s">
        <v>1072</v>
      </c>
      <c r="D470" s="26" t="s">
        <v>805</v>
      </c>
    </row>
    <row r="471" spans="2:4">
      <c r="B471" s="26" t="s">
        <v>390</v>
      </c>
      <c r="C471" s="26" t="s">
        <v>1072</v>
      </c>
      <c r="D471" s="26" t="s">
        <v>877</v>
      </c>
    </row>
    <row r="472" spans="2:4">
      <c r="B472" s="26" t="s">
        <v>390</v>
      </c>
      <c r="C472" s="26" t="s">
        <v>1072</v>
      </c>
      <c r="D472" s="26" t="s">
        <v>936</v>
      </c>
    </row>
    <row r="473" spans="2:4">
      <c r="B473" s="26" t="s">
        <v>390</v>
      </c>
      <c r="C473" s="26" t="s">
        <v>1072</v>
      </c>
      <c r="D473" s="26" t="s">
        <v>979</v>
      </c>
    </row>
    <row r="474" spans="2:4">
      <c r="B474" s="26" t="s">
        <v>391</v>
      </c>
      <c r="C474" s="26" t="s">
        <v>412</v>
      </c>
      <c r="D474" s="26" t="s">
        <v>629</v>
      </c>
    </row>
    <row r="475" spans="2:4">
      <c r="B475" s="26" t="s">
        <v>391</v>
      </c>
      <c r="C475" s="26" t="s">
        <v>412</v>
      </c>
      <c r="D475" s="26" t="s">
        <v>722</v>
      </c>
    </row>
    <row r="476" spans="2:4">
      <c r="B476" s="26" t="s">
        <v>391</v>
      </c>
      <c r="C476" s="26" t="s">
        <v>412</v>
      </c>
      <c r="D476" s="26" t="s">
        <v>806</v>
      </c>
    </row>
    <row r="477" spans="2:4">
      <c r="B477" s="26" t="s">
        <v>391</v>
      </c>
      <c r="C477" s="26" t="s">
        <v>412</v>
      </c>
      <c r="D477" s="26" t="s">
        <v>878</v>
      </c>
    </row>
    <row r="478" spans="2:4">
      <c r="B478" s="26" t="s">
        <v>391</v>
      </c>
      <c r="C478" s="26" t="s">
        <v>412</v>
      </c>
      <c r="D478" s="26" t="s">
        <v>937</v>
      </c>
    </row>
    <row r="479" spans="2:4">
      <c r="B479" s="26" t="s">
        <v>391</v>
      </c>
      <c r="C479" s="26" t="s">
        <v>412</v>
      </c>
      <c r="D479" s="26" t="s">
        <v>980</v>
      </c>
    </row>
    <row r="480" spans="2:4">
      <c r="B480" s="26" t="s">
        <v>391</v>
      </c>
      <c r="C480" s="26" t="s">
        <v>412</v>
      </c>
      <c r="D480" s="26" t="s">
        <v>1014</v>
      </c>
    </row>
    <row r="481" spans="2:4">
      <c r="B481" s="26" t="s">
        <v>391</v>
      </c>
      <c r="C481" s="26" t="s">
        <v>432</v>
      </c>
      <c r="D481" s="26" t="s">
        <v>630</v>
      </c>
    </row>
    <row r="482" spans="2:4">
      <c r="B482" s="26" t="s">
        <v>391</v>
      </c>
      <c r="C482" s="26" t="s">
        <v>432</v>
      </c>
      <c r="D482" s="26" t="s">
        <v>723</v>
      </c>
    </row>
    <row r="483" spans="2:4">
      <c r="B483" s="26" t="s">
        <v>391</v>
      </c>
      <c r="C483" s="26" t="s">
        <v>432</v>
      </c>
      <c r="D483" s="26" t="s">
        <v>807</v>
      </c>
    </row>
    <row r="484" spans="2:4">
      <c r="B484" s="26" t="s">
        <v>391</v>
      </c>
      <c r="C484" s="26" t="s">
        <v>432</v>
      </c>
      <c r="D484" s="26" t="s">
        <v>879</v>
      </c>
    </row>
    <row r="485" spans="2:4">
      <c r="B485" s="26" t="s">
        <v>391</v>
      </c>
      <c r="C485" s="26" t="s">
        <v>448</v>
      </c>
      <c r="D485" s="26" t="s">
        <v>631</v>
      </c>
    </row>
    <row r="486" spans="2:4">
      <c r="B486" s="26" t="s">
        <v>391</v>
      </c>
      <c r="C486" s="26" t="s">
        <v>448</v>
      </c>
      <c r="D486" s="26" t="s">
        <v>724</v>
      </c>
    </row>
    <row r="487" spans="2:4">
      <c r="B487" s="26" t="s">
        <v>391</v>
      </c>
      <c r="C487" s="26" t="s">
        <v>448</v>
      </c>
      <c r="D487" s="26" t="s">
        <v>808</v>
      </c>
    </row>
    <row r="488" spans="2:4">
      <c r="B488" s="26" t="s">
        <v>391</v>
      </c>
      <c r="C488" s="26" t="s">
        <v>448</v>
      </c>
      <c r="D488" s="26" t="s">
        <v>880</v>
      </c>
    </row>
    <row r="489" spans="2:4">
      <c r="B489" s="26" t="s">
        <v>391</v>
      </c>
      <c r="C489" s="26" t="s">
        <v>448</v>
      </c>
      <c r="D489" s="26" t="s">
        <v>938</v>
      </c>
    </row>
    <row r="490" spans="2:4">
      <c r="B490" s="26" t="s">
        <v>391</v>
      </c>
      <c r="C490" s="26" t="s">
        <v>448</v>
      </c>
      <c r="D490" s="26" t="s">
        <v>981</v>
      </c>
    </row>
    <row r="491" spans="2:4">
      <c r="B491" s="26" t="s">
        <v>391</v>
      </c>
      <c r="C491" s="26" t="s">
        <v>448</v>
      </c>
      <c r="D491" s="26" t="s">
        <v>1015</v>
      </c>
    </row>
    <row r="492" spans="2:4">
      <c r="B492" s="26" t="s">
        <v>543</v>
      </c>
      <c r="C492" s="26" t="s">
        <v>413</v>
      </c>
      <c r="D492" s="26" t="s">
        <v>632</v>
      </c>
    </row>
    <row r="493" spans="2:4">
      <c r="B493" s="26" t="s">
        <v>543</v>
      </c>
      <c r="C493" s="26" t="s">
        <v>413</v>
      </c>
      <c r="D493" s="26" t="s">
        <v>725</v>
      </c>
    </row>
    <row r="494" spans="2:4">
      <c r="B494" s="26" t="s">
        <v>543</v>
      </c>
      <c r="C494" s="26" t="s">
        <v>413</v>
      </c>
      <c r="D494" s="26" t="s">
        <v>809</v>
      </c>
    </row>
    <row r="495" spans="2:4">
      <c r="B495" s="26" t="s">
        <v>543</v>
      </c>
      <c r="C495" s="26" t="s">
        <v>1073</v>
      </c>
      <c r="D495" s="26" t="s">
        <v>633</v>
      </c>
    </row>
    <row r="496" spans="2:4">
      <c r="B496" s="26" t="s">
        <v>543</v>
      </c>
      <c r="C496" s="26" t="s">
        <v>1073</v>
      </c>
      <c r="D496" s="26" t="s">
        <v>726</v>
      </c>
    </row>
    <row r="497" spans="2:4">
      <c r="B497" s="26" t="s">
        <v>543</v>
      </c>
      <c r="C497" s="26" t="s">
        <v>1073</v>
      </c>
      <c r="D497" s="26" t="s">
        <v>810</v>
      </c>
    </row>
    <row r="498" spans="2:4">
      <c r="B498" s="26" t="s">
        <v>544</v>
      </c>
      <c r="C498" s="26" t="s">
        <v>414</v>
      </c>
      <c r="D498" s="26" t="s">
        <v>634</v>
      </c>
    </row>
    <row r="499" spans="2:4">
      <c r="B499" s="26" t="s">
        <v>544</v>
      </c>
      <c r="C499" s="26" t="s">
        <v>414</v>
      </c>
      <c r="D499" s="26" t="s">
        <v>727</v>
      </c>
    </row>
    <row r="500" spans="2:4">
      <c r="B500" s="26" t="s">
        <v>544</v>
      </c>
      <c r="C500" s="26" t="s">
        <v>414</v>
      </c>
      <c r="D500" s="26" t="s">
        <v>811</v>
      </c>
    </row>
    <row r="501" spans="2:4">
      <c r="B501" s="26" t="s">
        <v>544</v>
      </c>
      <c r="C501" s="26" t="s">
        <v>414</v>
      </c>
      <c r="D501" s="26" t="s">
        <v>881</v>
      </c>
    </row>
    <row r="502" spans="2:4">
      <c r="B502" s="26" t="s">
        <v>544</v>
      </c>
      <c r="C502" s="26" t="s">
        <v>434</v>
      </c>
      <c r="D502" s="26" t="s">
        <v>635</v>
      </c>
    </row>
    <row r="503" spans="2:4">
      <c r="B503" s="26" t="s">
        <v>544</v>
      </c>
      <c r="C503" s="26" t="s">
        <v>434</v>
      </c>
      <c r="D503" s="26" t="s">
        <v>728</v>
      </c>
    </row>
    <row r="504" spans="2:4">
      <c r="B504" s="26" t="s">
        <v>544</v>
      </c>
      <c r="C504" s="26" t="s">
        <v>1074</v>
      </c>
      <c r="D504" s="26" t="s">
        <v>636</v>
      </c>
    </row>
    <row r="505" spans="2:4">
      <c r="B505" s="26" t="s">
        <v>544</v>
      </c>
      <c r="C505" s="26" t="s">
        <v>1074</v>
      </c>
      <c r="D505" s="26" t="s">
        <v>729</v>
      </c>
    </row>
    <row r="506" spans="2:4">
      <c r="B506" s="26" t="s">
        <v>544</v>
      </c>
      <c r="C506" s="26" t="s">
        <v>1074</v>
      </c>
      <c r="D506" s="26" t="s">
        <v>812</v>
      </c>
    </row>
    <row r="507" spans="2:4">
      <c r="B507" s="26" t="s">
        <v>544</v>
      </c>
      <c r="C507" s="26" t="s">
        <v>1074</v>
      </c>
      <c r="D507" s="26" t="s">
        <v>882</v>
      </c>
    </row>
    <row r="508" spans="2:4">
      <c r="B508" s="26" t="s">
        <v>544</v>
      </c>
      <c r="C508" s="26" t="s">
        <v>1074</v>
      </c>
      <c r="D508" s="26" t="s">
        <v>939</v>
      </c>
    </row>
    <row r="509" spans="2:4">
      <c r="B509" s="26" t="s">
        <v>544</v>
      </c>
      <c r="C509" s="26" t="s">
        <v>458</v>
      </c>
      <c r="D509" s="26" t="s">
        <v>637</v>
      </c>
    </row>
    <row r="510" spans="2:4">
      <c r="B510" s="26" t="s">
        <v>544</v>
      </c>
      <c r="C510" s="26" t="s">
        <v>458</v>
      </c>
      <c r="D510" s="26" t="s">
        <v>730</v>
      </c>
    </row>
    <row r="511" spans="2:4">
      <c r="B511" s="26" t="s">
        <v>544</v>
      </c>
      <c r="C511" s="26" t="s">
        <v>458</v>
      </c>
      <c r="D511" s="26" t="s">
        <v>813</v>
      </c>
    </row>
    <row r="512" spans="2:4">
      <c r="B512" s="26" t="s">
        <v>544</v>
      </c>
      <c r="C512" s="26" t="s">
        <v>465</v>
      </c>
      <c r="D512" s="26" t="s">
        <v>638</v>
      </c>
    </row>
    <row r="513" spans="2:4">
      <c r="B513" s="26" t="s">
        <v>544</v>
      </c>
      <c r="C513" s="26" t="s">
        <v>465</v>
      </c>
      <c r="D513" s="26" t="s">
        <v>731</v>
      </c>
    </row>
    <row r="514" spans="2:4">
      <c r="B514" s="26" t="s">
        <v>544</v>
      </c>
      <c r="C514" s="26" t="s">
        <v>465</v>
      </c>
      <c r="D514" s="26" t="s">
        <v>1075</v>
      </c>
    </row>
    <row r="515" spans="2:4">
      <c r="B515" s="26" t="s">
        <v>544</v>
      </c>
      <c r="C515" s="26" t="s">
        <v>465</v>
      </c>
      <c r="D515" s="26" t="s">
        <v>883</v>
      </c>
    </row>
    <row r="516" spans="2:4">
      <c r="B516" s="26" t="s">
        <v>544</v>
      </c>
      <c r="C516" s="26" t="s">
        <v>465</v>
      </c>
      <c r="D516" s="26" t="s">
        <v>940</v>
      </c>
    </row>
    <row r="517" spans="2:4">
      <c r="B517" s="26" t="s">
        <v>544</v>
      </c>
      <c r="C517" s="26" t="s">
        <v>471</v>
      </c>
      <c r="D517" s="26" t="s">
        <v>639</v>
      </c>
    </row>
    <row r="518" spans="2:4">
      <c r="B518" s="26" t="s">
        <v>544</v>
      </c>
      <c r="C518" s="26" t="s">
        <v>471</v>
      </c>
      <c r="D518" s="26" t="s">
        <v>732</v>
      </c>
    </row>
    <row r="519" spans="2:4">
      <c r="B519" s="26" t="s">
        <v>544</v>
      </c>
      <c r="C519" s="26" t="s">
        <v>471</v>
      </c>
      <c r="D519" s="26" t="s">
        <v>815</v>
      </c>
    </row>
    <row r="520" spans="2:4">
      <c r="B520" s="26" t="s">
        <v>544</v>
      </c>
      <c r="C520" s="26" t="s">
        <v>471</v>
      </c>
      <c r="D520" s="26" t="s">
        <v>884</v>
      </c>
    </row>
    <row r="521" spans="2:4">
      <c r="B521" s="26" t="s">
        <v>544</v>
      </c>
      <c r="C521" s="26" t="s">
        <v>471</v>
      </c>
      <c r="D521" s="26" t="s">
        <v>941</v>
      </c>
    </row>
    <row r="522" spans="2:4">
      <c r="B522" s="26" t="s">
        <v>544</v>
      </c>
      <c r="C522" s="26" t="s">
        <v>476</v>
      </c>
      <c r="D522" s="26" t="s">
        <v>640</v>
      </c>
    </row>
    <row r="523" spans="2:4">
      <c r="B523" s="26" t="s">
        <v>544</v>
      </c>
      <c r="C523" s="26" t="s">
        <v>476</v>
      </c>
      <c r="D523" s="26" t="s">
        <v>733</v>
      </c>
    </row>
    <row r="524" spans="2:4">
      <c r="B524" s="26" t="s">
        <v>544</v>
      </c>
      <c r="C524" s="26" t="s">
        <v>476</v>
      </c>
      <c r="D524" s="26" t="s">
        <v>816</v>
      </c>
    </row>
    <row r="525" spans="2:4">
      <c r="B525" s="26" t="s">
        <v>544</v>
      </c>
      <c r="C525" s="26" t="s">
        <v>476</v>
      </c>
      <c r="D525" s="26" t="s">
        <v>885</v>
      </c>
    </row>
    <row r="526" spans="2:4">
      <c r="B526" s="26" t="s">
        <v>544</v>
      </c>
      <c r="C526" s="26" t="s">
        <v>481</v>
      </c>
      <c r="D526" s="26" t="s">
        <v>1076</v>
      </c>
    </row>
    <row r="527" spans="2:4">
      <c r="B527" s="26" t="s">
        <v>544</v>
      </c>
      <c r="C527" s="26" t="s">
        <v>481</v>
      </c>
      <c r="D527" s="26" t="s">
        <v>734</v>
      </c>
    </row>
    <row r="528" spans="2:4">
      <c r="B528" s="26" t="s">
        <v>544</v>
      </c>
      <c r="C528" s="26" t="s">
        <v>481</v>
      </c>
      <c r="D528" s="26" t="s">
        <v>817</v>
      </c>
    </row>
    <row r="529" spans="2:4">
      <c r="B529" s="26" t="s">
        <v>544</v>
      </c>
      <c r="C529" s="26" t="s">
        <v>481</v>
      </c>
      <c r="D529" s="26" t="s">
        <v>886</v>
      </c>
    </row>
    <row r="530" spans="2:4">
      <c r="B530" s="26" t="s">
        <v>544</v>
      </c>
      <c r="C530" s="26" t="s">
        <v>1077</v>
      </c>
      <c r="D530" s="26" t="s">
        <v>1078</v>
      </c>
    </row>
    <row r="531" spans="2:4">
      <c r="B531" s="26" t="s">
        <v>544</v>
      </c>
      <c r="C531" s="26" t="s">
        <v>1077</v>
      </c>
      <c r="D531" s="26" t="s">
        <v>1079</v>
      </c>
    </row>
    <row r="532" spans="2:4">
      <c r="B532" s="26" t="s">
        <v>545</v>
      </c>
      <c r="C532" s="26" t="s">
        <v>415</v>
      </c>
      <c r="D532" s="26" t="s">
        <v>643</v>
      </c>
    </row>
    <row r="533" spans="2:4">
      <c r="B533" s="26" t="s">
        <v>545</v>
      </c>
      <c r="C533" s="26" t="s">
        <v>415</v>
      </c>
      <c r="D533" s="26" t="s">
        <v>736</v>
      </c>
    </row>
    <row r="534" spans="2:4">
      <c r="B534" s="26" t="s">
        <v>545</v>
      </c>
      <c r="C534" s="26" t="s">
        <v>415</v>
      </c>
      <c r="D534" s="26" t="s">
        <v>818</v>
      </c>
    </row>
    <row r="535" spans="2:4">
      <c r="B535" s="26" t="s">
        <v>545</v>
      </c>
      <c r="C535" s="26" t="s">
        <v>435</v>
      </c>
      <c r="D535" s="26" t="s">
        <v>644</v>
      </c>
    </row>
    <row r="536" spans="2:4">
      <c r="B536" s="26" t="s">
        <v>545</v>
      </c>
      <c r="C536" s="26" t="s">
        <v>435</v>
      </c>
      <c r="D536" s="26" t="s">
        <v>737</v>
      </c>
    </row>
    <row r="537" spans="2:4">
      <c r="B537" s="26" t="s">
        <v>546</v>
      </c>
      <c r="C537" s="26" t="s">
        <v>416</v>
      </c>
      <c r="D537" s="26" t="s">
        <v>1080</v>
      </c>
    </row>
  </sheetData>
  <sheetProtection algorithmName="SHA-512" hashValue="+eoeuAIsVrYRDR78EHZ5HMThzeWgh+Rzx6j3tw12mKc6O77OqNLNBh/DO2VTsmZ8hBSGgWi8yukw4htXI2wVaw==" saltValue="LFdWe4JRkpQF2bvnXBqAfw==" spinCount="100000" sheet="1" selectLockedCells="1" selectUnlockedCells="1"/>
  <phoneticPr fontId="1"/>
  <conditionalFormatting sqref="B3:C244 B245 B246:C323 B325:C358 B359 B360:C435 B437:C494 B495 B496:C531 B533:C536">
    <cfRule type="expression" dxfId="4" priority="1">
      <formula>B2=B3</formula>
    </cfRule>
  </conditionalFormatting>
  <conditionalFormatting sqref="B324:C324">
    <cfRule type="expression" dxfId="3" priority="4">
      <formula>B318=B324</formula>
    </cfRule>
  </conditionalFormatting>
  <conditionalFormatting sqref="B436:C436">
    <cfRule type="expression" dxfId="2" priority="5">
      <formula>B434=B436</formula>
    </cfRule>
  </conditionalFormatting>
  <conditionalFormatting sqref="B532:C532">
    <cfRule type="expression" dxfId="1" priority="2">
      <formula>B529=B532</formula>
    </cfRule>
  </conditionalFormatting>
  <conditionalFormatting sqref="C245 C359 C495">
    <cfRule type="expression" dxfId="0" priority="3">
      <formula>#REF!=C245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5" ma:contentTypeDescription="新しいドキュメントを作成します。" ma:contentTypeScope="" ma:versionID="0844fa9ee4f215509cfac5e132cd0259">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e96c62d4fba89e047cbdb347ca501129"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AEFDA5-712D-4DAA-8A39-32D3DDCE2F9F}"/>
</file>

<file path=customXml/itemProps2.xml><?xml version="1.0" encoding="utf-8"?>
<ds:datastoreItem xmlns:ds="http://schemas.openxmlformats.org/officeDocument/2006/customXml" ds:itemID="{94F91C21-955C-469A-B888-9B4EC271D4B5}"/>
</file>

<file path=customXml/itemProps3.xml><?xml version="1.0" encoding="utf-8"?>
<ds:datastoreItem xmlns:ds="http://schemas.openxmlformats.org/officeDocument/2006/customXml" ds:itemID="{FDF15E4E-CAC3-430F-8E12-750A8F3C8E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山下 良太 博報堂 ＴＰＦＢ ＴＰ局Ｇ</cp:lastModifiedBy>
  <cp:revision/>
  <dcterms:created xsi:type="dcterms:W3CDTF">2024-02-13T08:26:40Z</dcterms:created>
  <dcterms:modified xsi:type="dcterms:W3CDTF">2025-07-25T07:09:39Z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